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DCTSTGRIE01\Downloads\"/>
    </mc:Choice>
  </mc:AlternateContent>
  <xr:revisionPtr revIDLastSave="0" documentId="13_ncr:1_{8AD4CDAC-4E31-4571-8AC9-3EA0F8AA5439}" xr6:coauthVersionLast="47" xr6:coauthVersionMax="47" xr10:uidLastSave="{00000000-0000-0000-0000-000000000000}"/>
  <bookViews>
    <workbookView xWindow="-120" yWindow="-120" windowWidth="29040" windowHeight="15840" firstSheet="2" activeTab="2" xr2:uid="{98C5F8D3-3AFE-43C3-B8CD-F1EB3B1ECB13}"/>
  </bookViews>
  <sheets>
    <sheet name="DOFA" sheetId="8" r:id="rId1"/>
    <sheet name="Instructivo" sheetId="9" r:id="rId2"/>
    <sheet name="Mapa final" sheetId="1" r:id="rId3"/>
    <sheet name="Datos" sheetId="7" r:id="rId4"/>
    <sheet name="Mapa riesgos inherentes" sheetId="2" r:id="rId5"/>
    <sheet name="Mapa riesgos residuales" sheetId="3" r:id="rId6"/>
    <sheet name="Impacto." sheetId="11" r:id="rId7"/>
    <sheet name="Probabilidad" sheetId="4" r:id="rId8"/>
    <sheet name="Impacto" sheetId="5" state="hidden" r:id="rId9"/>
    <sheet name="Matriz" sheetId="6" r:id="rId10"/>
    <sheet name="Control de cambios" sheetId="10" r:id="rId11"/>
  </sheets>
  <externalReferences>
    <externalReference r:id="rId12"/>
  </externalReferences>
  <definedNames>
    <definedName name="_xlnm._FilterDatabase" localSheetId="2" hidden="1">'Mapa final'!$A$8:$BW$174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16" i="1" l="1"/>
  <c r="AA12" i="9"/>
  <c r="X12" i="9"/>
  <c r="AA11" i="9"/>
  <c r="X11" i="9"/>
  <c r="S11" i="9"/>
  <c r="AH11" i="9" s="1"/>
  <c r="AI11" i="9" s="1"/>
  <c r="R11" i="9"/>
  <c r="P11" i="9"/>
  <c r="O11" i="9"/>
  <c r="S168" i="1"/>
  <c r="R168" i="1"/>
  <c r="S160" i="1"/>
  <c r="S159" i="1"/>
  <c r="R160" i="1"/>
  <c r="R159" i="1"/>
  <c r="S156" i="1"/>
  <c r="R156" i="1"/>
  <c r="S154" i="1"/>
  <c r="R154" i="1"/>
  <c r="S152" i="1"/>
  <c r="R152" i="1"/>
  <c r="S110" i="1"/>
  <c r="R110" i="1"/>
  <c r="S104" i="1"/>
  <c r="R104" i="1"/>
  <c r="R105" i="1"/>
  <c r="S101" i="1"/>
  <c r="R101" i="1"/>
  <c r="T11" i="9" l="1"/>
  <c r="U11" i="9" s="1"/>
  <c r="AF11" i="9"/>
  <c r="AJ11" i="9" s="1"/>
  <c r="AK11" i="9" s="1"/>
  <c r="AH12" i="9"/>
  <c r="AI12" i="9" s="1"/>
  <c r="AA52" i="1"/>
  <c r="AA53" i="1"/>
  <c r="X52" i="1"/>
  <c r="X53" i="1"/>
  <c r="AA28" i="1"/>
  <c r="X28" i="1"/>
  <c r="X19" i="1"/>
  <c r="X20" i="1"/>
  <c r="X21" i="1"/>
  <c r="X22" i="1"/>
  <c r="X23" i="1"/>
  <c r="X24" i="1"/>
  <c r="X25" i="1"/>
  <c r="AA19" i="1"/>
  <c r="AA20" i="1"/>
  <c r="AA21" i="1"/>
  <c r="AA22" i="1"/>
  <c r="AA23" i="1"/>
  <c r="AA24" i="1"/>
  <c r="AA25" i="1"/>
  <c r="AA17" i="1"/>
  <c r="X17" i="1"/>
  <c r="AF12" i="9" l="1"/>
  <c r="AJ12" i="9" s="1"/>
  <c r="AK12" i="9" s="1"/>
  <c r="AL11" i="9" s="1"/>
  <c r="AG11" i="9"/>
  <c r="AA57" i="1"/>
  <c r="X57" i="1"/>
  <c r="U57" i="1"/>
  <c r="S57" i="1"/>
  <c r="R57" i="1"/>
  <c r="AA56" i="1"/>
  <c r="X56" i="1"/>
  <c r="S56" i="1"/>
  <c r="R56" i="1"/>
  <c r="O56" i="1"/>
  <c r="P56" i="1" s="1"/>
  <c r="AA55" i="1"/>
  <c r="X55" i="1"/>
  <c r="S55" i="1"/>
  <c r="R55" i="1"/>
  <c r="O55" i="1"/>
  <c r="P55" i="1" s="1"/>
  <c r="AA32" i="1"/>
  <c r="X32" i="1"/>
  <c r="U32" i="1"/>
  <c r="S32" i="1"/>
  <c r="R32" i="1"/>
  <c r="AA31" i="1"/>
  <c r="X31" i="1"/>
  <c r="S31" i="1"/>
  <c r="R31" i="1"/>
  <c r="O31" i="1"/>
  <c r="P31" i="1" s="1"/>
  <c r="AA30" i="1"/>
  <c r="X30" i="1"/>
  <c r="U30" i="1"/>
  <c r="S30" i="1"/>
  <c r="R30" i="1"/>
  <c r="AA29" i="1"/>
  <c r="X29" i="1"/>
  <c r="U29" i="1"/>
  <c r="S29" i="1"/>
  <c r="R29" i="1"/>
  <c r="AA27" i="1"/>
  <c r="X27" i="1"/>
  <c r="S27" i="1"/>
  <c r="R27" i="1"/>
  <c r="O27" i="1"/>
  <c r="P27" i="1" s="1"/>
  <c r="AA26" i="1"/>
  <c r="X26" i="1"/>
  <c r="U26" i="1"/>
  <c r="S26" i="1"/>
  <c r="R26" i="1"/>
  <c r="U24" i="1"/>
  <c r="S24" i="1"/>
  <c r="R24" i="1"/>
  <c r="AA18" i="1"/>
  <c r="X18" i="1"/>
  <c r="S18" i="1"/>
  <c r="R18" i="1"/>
  <c r="O18" i="1"/>
  <c r="P18" i="1" s="1"/>
  <c r="AG12" i="9" l="1"/>
  <c r="AF27" i="1"/>
  <c r="AF28" i="1" s="1"/>
  <c r="AF29" i="1" s="1"/>
  <c r="AF30" i="1" s="1"/>
  <c r="AH27" i="1"/>
  <c r="AH28" i="1" s="1"/>
  <c r="AH29" i="1" s="1"/>
  <c r="AH30" i="1" s="1"/>
  <c r="AF55" i="1"/>
  <c r="AH55" i="1"/>
  <c r="AI55" i="1" s="1"/>
  <c r="AF18" i="1"/>
  <c r="AF19" i="1" s="1"/>
  <c r="AF20" i="1" s="1"/>
  <c r="AF21" i="1" s="1"/>
  <c r="AF22" i="1" s="1"/>
  <c r="AF23" i="1" s="1"/>
  <c r="AF24" i="1" s="1"/>
  <c r="AF25" i="1" s="1"/>
  <c r="AF26" i="1" s="1"/>
  <c r="AH18" i="1"/>
  <c r="AH19" i="1" s="1"/>
  <c r="AH20" i="1" s="1"/>
  <c r="AH21" i="1" s="1"/>
  <c r="AH22" i="1" s="1"/>
  <c r="AH23" i="1" s="1"/>
  <c r="AH24" i="1" s="1"/>
  <c r="AH25" i="1" s="1"/>
  <c r="AH26" i="1" s="1"/>
  <c r="AF31" i="1"/>
  <c r="AF32" i="1" s="1"/>
  <c r="AH31" i="1"/>
  <c r="AH32" i="1" s="1"/>
  <c r="AF56" i="1"/>
  <c r="AF57" i="1" s="1"/>
  <c r="AH56" i="1"/>
  <c r="AH57" i="1" s="1"/>
  <c r="T56" i="1"/>
  <c r="U56" i="1" s="1"/>
  <c r="T55" i="1"/>
  <c r="U55" i="1" s="1"/>
  <c r="T27" i="1"/>
  <c r="U27" i="1" s="1"/>
  <c r="T18" i="1"/>
  <c r="U18" i="1" s="1"/>
  <c r="T31" i="1"/>
  <c r="U31" i="1" s="1"/>
  <c r="U173" i="1"/>
  <c r="U172" i="1"/>
  <c r="U170" i="1"/>
  <c r="U163" i="1"/>
  <c r="U162" i="1"/>
  <c r="U155" i="1"/>
  <c r="U148" i="1"/>
  <c r="U146" i="1"/>
  <c r="U145" i="1"/>
  <c r="U144" i="1"/>
  <c r="U143" i="1"/>
  <c r="U139" i="1"/>
  <c r="U136" i="1"/>
  <c r="U133" i="1"/>
  <c r="U131" i="1"/>
  <c r="U130" i="1"/>
  <c r="U127" i="1"/>
  <c r="U125" i="1"/>
  <c r="U123" i="1"/>
  <c r="U120" i="1"/>
  <c r="U111" i="1"/>
  <c r="U107" i="1"/>
  <c r="U103" i="1"/>
  <c r="U98" i="1"/>
  <c r="U96" i="1"/>
  <c r="U82" i="1"/>
  <c r="U80" i="1"/>
  <c r="U76" i="1"/>
  <c r="U54" i="1"/>
  <c r="U50" i="1"/>
  <c r="U49" i="1"/>
  <c r="U46" i="1"/>
  <c r="U43" i="1"/>
  <c r="U42" i="1"/>
  <c r="U39" i="1"/>
  <c r="U35" i="1"/>
  <c r="U15" i="1"/>
  <c r="U14" i="1"/>
  <c r="X95" i="1"/>
  <c r="R95" i="1"/>
  <c r="S174" i="1"/>
  <c r="R174" i="1"/>
  <c r="S173" i="1"/>
  <c r="R173" i="1"/>
  <c r="S172" i="1"/>
  <c r="R172" i="1"/>
  <c r="S171" i="1"/>
  <c r="R171" i="1"/>
  <c r="S170" i="1"/>
  <c r="R170" i="1"/>
  <c r="S169" i="1"/>
  <c r="R169" i="1"/>
  <c r="S167" i="1"/>
  <c r="R167" i="1"/>
  <c r="S166" i="1"/>
  <c r="R166" i="1"/>
  <c r="S165" i="1"/>
  <c r="R165" i="1"/>
  <c r="S164" i="1"/>
  <c r="R164" i="1"/>
  <c r="S163" i="1"/>
  <c r="R163" i="1"/>
  <c r="S162" i="1"/>
  <c r="R162" i="1"/>
  <c r="S161" i="1"/>
  <c r="R161" i="1"/>
  <c r="S158" i="1"/>
  <c r="R158" i="1"/>
  <c r="S157" i="1"/>
  <c r="R157" i="1"/>
  <c r="S155" i="1"/>
  <c r="R155" i="1"/>
  <c r="S153" i="1"/>
  <c r="R153" i="1"/>
  <c r="S151" i="1"/>
  <c r="R151" i="1"/>
  <c r="S150" i="1"/>
  <c r="R150" i="1"/>
  <c r="S149" i="1"/>
  <c r="R149" i="1"/>
  <c r="S148" i="1"/>
  <c r="R148" i="1"/>
  <c r="S147" i="1"/>
  <c r="R147" i="1"/>
  <c r="S146" i="1"/>
  <c r="R146" i="1"/>
  <c r="S145" i="1"/>
  <c r="R145" i="1"/>
  <c r="S144" i="1"/>
  <c r="R144" i="1"/>
  <c r="S143" i="1"/>
  <c r="R143" i="1"/>
  <c r="S142" i="1"/>
  <c r="R142" i="1"/>
  <c r="S141" i="1"/>
  <c r="R141" i="1"/>
  <c r="S140" i="1"/>
  <c r="R140" i="1"/>
  <c r="S139" i="1"/>
  <c r="R139" i="1"/>
  <c r="S138" i="1"/>
  <c r="R138" i="1"/>
  <c r="S137" i="1"/>
  <c r="R137" i="1"/>
  <c r="S136" i="1"/>
  <c r="R136" i="1"/>
  <c r="S135" i="1"/>
  <c r="R135" i="1"/>
  <c r="S134" i="1"/>
  <c r="R134" i="1"/>
  <c r="S133" i="1"/>
  <c r="R133" i="1"/>
  <c r="S132" i="1"/>
  <c r="R132" i="1"/>
  <c r="S131" i="1"/>
  <c r="R131" i="1"/>
  <c r="S130" i="1"/>
  <c r="R130" i="1"/>
  <c r="S129" i="1"/>
  <c r="R129" i="1"/>
  <c r="S128" i="1"/>
  <c r="R128" i="1"/>
  <c r="S127" i="1"/>
  <c r="R127" i="1"/>
  <c r="S126" i="1"/>
  <c r="R126" i="1"/>
  <c r="S125" i="1"/>
  <c r="R125" i="1"/>
  <c r="S124" i="1"/>
  <c r="R124" i="1"/>
  <c r="S123" i="1"/>
  <c r="R123" i="1"/>
  <c r="S122" i="1"/>
  <c r="R122" i="1"/>
  <c r="S121" i="1"/>
  <c r="R121" i="1"/>
  <c r="S120" i="1"/>
  <c r="R120" i="1"/>
  <c r="S119" i="1"/>
  <c r="R119" i="1"/>
  <c r="S118" i="1"/>
  <c r="R118" i="1"/>
  <c r="S117" i="1"/>
  <c r="R117" i="1"/>
  <c r="S116" i="1"/>
  <c r="R116" i="1"/>
  <c r="S115" i="1"/>
  <c r="R115" i="1"/>
  <c r="S114" i="1"/>
  <c r="R114" i="1"/>
  <c r="S113" i="1"/>
  <c r="R113" i="1"/>
  <c r="S112" i="1"/>
  <c r="R112" i="1"/>
  <c r="S111" i="1"/>
  <c r="R111" i="1"/>
  <c r="S109" i="1"/>
  <c r="R109" i="1"/>
  <c r="S108" i="1"/>
  <c r="R108" i="1"/>
  <c r="S107" i="1"/>
  <c r="R107" i="1"/>
  <c r="S106" i="1"/>
  <c r="R106" i="1"/>
  <c r="S105" i="1"/>
  <c r="S103" i="1"/>
  <c r="R103" i="1"/>
  <c r="S102" i="1"/>
  <c r="R102" i="1"/>
  <c r="S100" i="1"/>
  <c r="R100" i="1"/>
  <c r="S99" i="1"/>
  <c r="R99" i="1"/>
  <c r="S98" i="1"/>
  <c r="R98" i="1"/>
  <c r="S97" i="1"/>
  <c r="R97" i="1"/>
  <c r="S96" i="1"/>
  <c r="R96" i="1"/>
  <c r="S95" i="1"/>
  <c r="S94" i="1"/>
  <c r="R94" i="1"/>
  <c r="S93" i="1"/>
  <c r="R93" i="1"/>
  <c r="S92" i="1"/>
  <c r="R92" i="1"/>
  <c r="S91" i="1"/>
  <c r="R91" i="1"/>
  <c r="S90" i="1"/>
  <c r="R90" i="1"/>
  <c r="S89" i="1"/>
  <c r="R89" i="1"/>
  <c r="S88" i="1"/>
  <c r="R88" i="1"/>
  <c r="S87" i="1"/>
  <c r="R87" i="1"/>
  <c r="S86" i="1"/>
  <c r="R86" i="1"/>
  <c r="S85" i="1"/>
  <c r="R85" i="1"/>
  <c r="S84" i="1"/>
  <c r="R84" i="1"/>
  <c r="S83" i="1"/>
  <c r="R83" i="1"/>
  <c r="S82" i="1"/>
  <c r="R82" i="1"/>
  <c r="S81" i="1"/>
  <c r="R81" i="1"/>
  <c r="S80" i="1"/>
  <c r="R80" i="1"/>
  <c r="S79" i="1"/>
  <c r="R79" i="1"/>
  <c r="S78" i="1"/>
  <c r="R78" i="1"/>
  <c r="S77" i="1"/>
  <c r="R77" i="1"/>
  <c r="S76" i="1"/>
  <c r="R76" i="1"/>
  <c r="S75" i="1"/>
  <c r="R75" i="1"/>
  <c r="S74" i="1"/>
  <c r="R74" i="1"/>
  <c r="S73" i="1"/>
  <c r="R73" i="1"/>
  <c r="S72" i="1"/>
  <c r="R72" i="1"/>
  <c r="S71" i="1"/>
  <c r="R71" i="1"/>
  <c r="S70" i="1"/>
  <c r="R70" i="1"/>
  <c r="S69" i="1"/>
  <c r="R69" i="1"/>
  <c r="S68" i="1"/>
  <c r="R68" i="1"/>
  <c r="S67" i="1"/>
  <c r="R67" i="1"/>
  <c r="S66" i="1"/>
  <c r="R66" i="1"/>
  <c r="S65" i="1"/>
  <c r="R65" i="1"/>
  <c r="S64" i="1"/>
  <c r="R64" i="1"/>
  <c r="S63" i="1"/>
  <c r="R63" i="1"/>
  <c r="S62" i="1"/>
  <c r="R62" i="1"/>
  <c r="S61" i="1"/>
  <c r="R61" i="1"/>
  <c r="S60" i="1"/>
  <c r="R60" i="1"/>
  <c r="S59" i="1"/>
  <c r="R59" i="1"/>
  <c r="S58" i="1"/>
  <c r="R58" i="1"/>
  <c r="S54" i="1"/>
  <c r="R54" i="1"/>
  <c r="S51" i="1"/>
  <c r="R51" i="1"/>
  <c r="S50" i="1"/>
  <c r="R50" i="1"/>
  <c r="S49" i="1"/>
  <c r="R49" i="1"/>
  <c r="S48" i="1"/>
  <c r="R48" i="1"/>
  <c r="S47" i="1"/>
  <c r="R47" i="1"/>
  <c r="S46" i="1"/>
  <c r="R46" i="1"/>
  <c r="S45" i="1"/>
  <c r="R45" i="1"/>
  <c r="S44" i="1"/>
  <c r="R44" i="1"/>
  <c r="S43" i="1"/>
  <c r="R43" i="1"/>
  <c r="S42" i="1"/>
  <c r="R42" i="1"/>
  <c r="S41" i="1"/>
  <c r="R41" i="1"/>
  <c r="S40" i="1"/>
  <c r="R40" i="1"/>
  <c r="S39" i="1"/>
  <c r="R39" i="1"/>
  <c r="S38" i="1"/>
  <c r="R38" i="1"/>
  <c r="S37" i="1"/>
  <c r="R37" i="1"/>
  <c r="S36" i="1"/>
  <c r="R36" i="1"/>
  <c r="S35" i="1"/>
  <c r="R35" i="1"/>
  <c r="S34" i="1"/>
  <c r="R34" i="1"/>
  <c r="S33" i="1"/>
  <c r="R33" i="1"/>
  <c r="S16" i="1"/>
  <c r="R16" i="1"/>
  <c r="S15" i="1"/>
  <c r="R15" i="1"/>
  <c r="S14" i="1"/>
  <c r="R14" i="1"/>
  <c r="S13" i="1"/>
  <c r="R13" i="1"/>
  <c r="R10" i="1"/>
  <c r="S10" i="1"/>
  <c r="R11" i="1"/>
  <c r="S11" i="1"/>
  <c r="R12" i="1"/>
  <c r="S12" i="1"/>
  <c r="S9" i="1"/>
  <c r="R9" i="1"/>
  <c r="AG31" i="1" l="1"/>
  <c r="AI56" i="1"/>
  <c r="AH95" i="1"/>
  <c r="AG27" i="1"/>
  <c r="AG32" i="1"/>
  <c r="AG28" i="1"/>
  <c r="AI57" i="1"/>
  <c r="AG19" i="1"/>
  <c r="AG57" i="1"/>
  <c r="AG56" i="1"/>
  <c r="AJ56" i="1"/>
  <c r="AG55" i="1"/>
  <c r="AJ55" i="1"/>
  <c r="AG18" i="1"/>
  <c r="AA174" i="1"/>
  <c r="X174" i="1"/>
  <c r="O174" i="1"/>
  <c r="P174" i="1" s="1"/>
  <c r="AF174" i="1" l="1"/>
  <c r="AH174" i="1"/>
  <c r="AG30" i="1"/>
  <c r="AG29" i="1"/>
  <c r="AG20" i="1"/>
  <c r="AJ57" i="1"/>
  <c r="AK57" i="1" s="1"/>
  <c r="AL56" i="1" s="1"/>
  <c r="AK56" i="1"/>
  <c r="AK55" i="1"/>
  <c r="AL55" i="1" s="1"/>
  <c r="T174" i="1"/>
  <c r="U174" i="1" s="1"/>
  <c r="AG21" i="1" l="1"/>
  <c r="X97" i="1"/>
  <c r="X98" i="1"/>
  <c r="X99" i="1"/>
  <c r="X100" i="1"/>
  <c r="AH99" i="1" l="1"/>
  <c r="AH97" i="1"/>
  <c r="AH98" i="1" s="1"/>
  <c r="AH100" i="1"/>
  <c r="AG22" i="1"/>
  <c r="AT171" i="1"/>
  <c r="AG23" i="1" l="1"/>
  <c r="N161" i="1"/>
  <c r="O161" i="1" s="1"/>
  <c r="P161" i="1" s="1"/>
  <c r="N158" i="1"/>
  <c r="O158" i="1" s="1"/>
  <c r="P158" i="1" s="1"/>
  <c r="N157" i="1"/>
  <c r="O157" i="1" s="1"/>
  <c r="P157" i="1" s="1"/>
  <c r="N138" i="1"/>
  <c r="O138" i="1" s="1"/>
  <c r="P138" i="1" s="1"/>
  <c r="O129" i="1"/>
  <c r="P129" i="1" s="1"/>
  <c r="O132" i="1"/>
  <c r="P132" i="1" s="1"/>
  <c r="O134" i="1"/>
  <c r="P134" i="1" s="1"/>
  <c r="O135" i="1"/>
  <c r="P135" i="1" s="1"/>
  <c r="O137" i="1"/>
  <c r="P137" i="1" s="1"/>
  <c r="O140" i="1"/>
  <c r="P140" i="1" s="1"/>
  <c r="O141" i="1"/>
  <c r="P141" i="1" s="1"/>
  <c r="O142" i="1"/>
  <c r="P142" i="1" s="1"/>
  <c r="O147" i="1"/>
  <c r="P147" i="1" s="1"/>
  <c r="O149" i="1"/>
  <c r="P149" i="1" s="1"/>
  <c r="AA173" i="1"/>
  <c r="X173" i="1"/>
  <c r="AA172" i="1"/>
  <c r="X172" i="1"/>
  <c r="AA171" i="1"/>
  <c r="X171" i="1"/>
  <c r="O171" i="1"/>
  <c r="P171" i="1" s="1"/>
  <c r="AA170" i="1"/>
  <c r="X170" i="1"/>
  <c r="AA169" i="1"/>
  <c r="X169" i="1"/>
  <c r="O169" i="1"/>
  <c r="P169" i="1" s="1"/>
  <c r="AA168" i="1"/>
  <c r="X168" i="1"/>
  <c r="O168" i="1"/>
  <c r="P168" i="1" s="1"/>
  <c r="AA167" i="1"/>
  <c r="X167" i="1"/>
  <c r="O167" i="1"/>
  <c r="P167" i="1" s="1"/>
  <c r="AA166" i="1"/>
  <c r="X166" i="1"/>
  <c r="O166" i="1"/>
  <c r="P166" i="1" s="1"/>
  <c r="AA165" i="1"/>
  <c r="X165" i="1"/>
  <c r="O165" i="1"/>
  <c r="P165" i="1" s="1"/>
  <c r="AA164" i="1"/>
  <c r="X164" i="1"/>
  <c r="O164" i="1"/>
  <c r="P164" i="1" s="1"/>
  <c r="AA163" i="1"/>
  <c r="X163" i="1"/>
  <c r="AA162" i="1"/>
  <c r="X162" i="1"/>
  <c r="AA161" i="1"/>
  <c r="X161" i="1"/>
  <c r="AA160" i="1"/>
  <c r="X160" i="1"/>
  <c r="O160" i="1"/>
  <c r="P160" i="1" s="1"/>
  <c r="AA159" i="1"/>
  <c r="X159" i="1"/>
  <c r="O159" i="1"/>
  <c r="P159" i="1" s="1"/>
  <c r="AA158" i="1"/>
  <c r="X158" i="1"/>
  <c r="AA157" i="1"/>
  <c r="X157" i="1"/>
  <c r="AA156" i="1"/>
  <c r="X156" i="1"/>
  <c r="O156" i="1"/>
  <c r="P156" i="1" s="1"/>
  <c r="AA155" i="1"/>
  <c r="X155" i="1"/>
  <c r="AA154" i="1"/>
  <c r="X154" i="1"/>
  <c r="O154" i="1"/>
  <c r="P154" i="1" s="1"/>
  <c r="T154" i="1" s="1"/>
  <c r="AA153" i="1"/>
  <c r="X153" i="1"/>
  <c r="O153" i="1"/>
  <c r="P153" i="1" s="1"/>
  <c r="AA152" i="1"/>
  <c r="X152" i="1"/>
  <c r="O152" i="1"/>
  <c r="P152" i="1" s="1"/>
  <c r="AA151" i="1"/>
  <c r="X151" i="1"/>
  <c r="O151" i="1"/>
  <c r="P151" i="1" s="1"/>
  <c r="AA150" i="1"/>
  <c r="X150" i="1"/>
  <c r="O150" i="1"/>
  <c r="P150" i="1" s="1"/>
  <c r="AA149" i="1"/>
  <c r="X149" i="1"/>
  <c r="AA148" i="1"/>
  <c r="X148" i="1"/>
  <c r="AA147" i="1"/>
  <c r="X147" i="1"/>
  <c r="AA146" i="1"/>
  <c r="X146" i="1"/>
  <c r="AA145" i="1"/>
  <c r="X145" i="1"/>
  <c r="AA144" i="1"/>
  <c r="X144" i="1"/>
  <c r="AA143" i="1"/>
  <c r="X143" i="1"/>
  <c r="AA142" i="1"/>
  <c r="X142" i="1"/>
  <c r="AA141" i="1"/>
  <c r="X141" i="1"/>
  <c r="AA140" i="1"/>
  <c r="X140" i="1"/>
  <c r="AA139" i="1"/>
  <c r="X139" i="1"/>
  <c r="AA138" i="1"/>
  <c r="X138" i="1"/>
  <c r="AA137" i="1"/>
  <c r="X137" i="1"/>
  <c r="AA136" i="1"/>
  <c r="X136" i="1"/>
  <c r="AA135" i="1"/>
  <c r="X135" i="1"/>
  <c r="AA134" i="1"/>
  <c r="X134" i="1"/>
  <c r="AA133" i="1"/>
  <c r="X133" i="1"/>
  <c r="AA132" i="1"/>
  <c r="X132" i="1"/>
  <c r="AA131" i="1"/>
  <c r="X131" i="1"/>
  <c r="AA130" i="1"/>
  <c r="X130" i="1"/>
  <c r="AA129" i="1"/>
  <c r="X129" i="1"/>
  <c r="AA128" i="1"/>
  <c r="X128" i="1"/>
  <c r="O128" i="1"/>
  <c r="P128" i="1" s="1"/>
  <c r="AA127" i="1"/>
  <c r="X127" i="1"/>
  <c r="AA126" i="1"/>
  <c r="X126" i="1"/>
  <c r="O126" i="1"/>
  <c r="P126" i="1" s="1"/>
  <c r="AA125" i="1"/>
  <c r="X125" i="1"/>
  <c r="AA124" i="1"/>
  <c r="X124" i="1"/>
  <c r="O124" i="1"/>
  <c r="P124" i="1" s="1"/>
  <c r="AA123" i="1"/>
  <c r="X123" i="1"/>
  <c r="AA122" i="1"/>
  <c r="X122" i="1"/>
  <c r="O122" i="1"/>
  <c r="P122" i="1" s="1"/>
  <c r="AA121" i="1"/>
  <c r="X121" i="1"/>
  <c r="AA120" i="1"/>
  <c r="X120" i="1"/>
  <c r="AA119" i="1"/>
  <c r="X119" i="1"/>
  <c r="AA118" i="1"/>
  <c r="X118" i="1"/>
  <c r="AA117" i="1"/>
  <c r="X117" i="1"/>
  <c r="O121" i="1"/>
  <c r="P121" i="1" s="1"/>
  <c r="O119" i="1"/>
  <c r="P119" i="1" s="1"/>
  <c r="O118" i="1"/>
  <c r="P118" i="1" s="1"/>
  <c r="O117" i="1"/>
  <c r="P117" i="1" s="1"/>
  <c r="N106" i="1"/>
  <c r="O106" i="1" s="1"/>
  <c r="P106" i="1" s="1"/>
  <c r="N95" i="1"/>
  <c r="O95" i="1" s="1"/>
  <c r="P95" i="1" s="1"/>
  <c r="AA116" i="1"/>
  <c r="X116" i="1"/>
  <c r="O116" i="1"/>
  <c r="P116" i="1" s="1"/>
  <c r="AA115" i="1"/>
  <c r="X115" i="1"/>
  <c r="O115" i="1"/>
  <c r="P115" i="1" s="1"/>
  <c r="AA114" i="1"/>
  <c r="X114" i="1"/>
  <c r="O114" i="1"/>
  <c r="P114" i="1" s="1"/>
  <c r="AA113" i="1"/>
  <c r="X113" i="1"/>
  <c r="O113" i="1"/>
  <c r="P113" i="1" s="1"/>
  <c r="AA112" i="1"/>
  <c r="X112" i="1"/>
  <c r="O112" i="1"/>
  <c r="P112" i="1" s="1"/>
  <c r="AA111" i="1"/>
  <c r="X111" i="1"/>
  <c r="AA110" i="1"/>
  <c r="X110" i="1"/>
  <c r="O110" i="1"/>
  <c r="P110" i="1" s="1"/>
  <c r="T110" i="1" s="1"/>
  <c r="AA109" i="1"/>
  <c r="X109" i="1"/>
  <c r="O109" i="1"/>
  <c r="P109" i="1" s="1"/>
  <c r="AA108" i="1"/>
  <c r="X108" i="1"/>
  <c r="O108" i="1"/>
  <c r="P108" i="1" s="1"/>
  <c r="AA107" i="1"/>
  <c r="X107" i="1"/>
  <c r="AA106" i="1"/>
  <c r="X106" i="1"/>
  <c r="AA105" i="1"/>
  <c r="X105" i="1"/>
  <c r="O105" i="1"/>
  <c r="P105" i="1" s="1"/>
  <c r="AA104" i="1"/>
  <c r="X104" i="1"/>
  <c r="O104" i="1"/>
  <c r="P104" i="1" s="1"/>
  <c r="T104" i="1" s="1"/>
  <c r="AA103" i="1"/>
  <c r="X103" i="1"/>
  <c r="AA102" i="1"/>
  <c r="X102" i="1"/>
  <c r="O102" i="1"/>
  <c r="P102" i="1" s="1"/>
  <c r="AA100" i="1"/>
  <c r="O100" i="1"/>
  <c r="P100" i="1" s="1"/>
  <c r="AA99" i="1"/>
  <c r="O99" i="1"/>
  <c r="P99" i="1" s="1"/>
  <c r="AA98" i="1"/>
  <c r="AA97" i="1"/>
  <c r="O97" i="1"/>
  <c r="P97" i="1" s="1"/>
  <c r="AA96" i="1"/>
  <c r="X96" i="1"/>
  <c r="AA95" i="1"/>
  <c r="AA101" i="1"/>
  <c r="X101" i="1"/>
  <c r="O101" i="1"/>
  <c r="P101" i="1" s="1"/>
  <c r="AA89" i="1"/>
  <c r="X89" i="1"/>
  <c r="AA88" i="1"/>
  <c r="X88" i="1"/>
  <c r="AA87" i="1"/>
  <c r="X87" i="1"/>
  <c r="AA86" i="1"/>
  <c r="X86" i="1"/>
  <c r="O89" i="1"/>
  <c r="P89" i="1" s="1"/>
  <c r="O88" i="1"/>
  <c r="P88" i="1" s="1"/>
  <c r="O87" i="1"/>
  <c r="P87" i="1" s="1"/>
  <c r="O86" i="1"/>
  <c r="P86" i="1" s="1"/>
  <c r="AA94" i="1"/>
  <c r="X94" i="1"/>
  <c r="O94" i="1"/>
  <c r="P94" i="1" s="1"/>
  <c r="AA93" i="1"/>
  <c r="X93" i="1"/>
  <c r="O93" i="1"/>
  <c r="P93" i="1" s="1"/>
  <c r="AA92" i="1"/>
  <c r="X92" i="1"/>
  <c r="O92" i="1"/>
  <c r="P92" i="1" s="1"/>
  <c r="AA91" i="1"/>
  <c r="X91" i="1"/>
  <c r="O91" i="1"/>
  <c r="P91" i="1" s="1"/>
  <c r="AA90" i="1"/>
  <c r="X90" i="1"/>
  <c r="O90" i="1"/>
  <c r="P90" i="1" s="1"/>
  <c r="O84" i="1"/>
  <c r="P84" i="1" s="1"/>
  <c r="O85" i="1"/>
  <c r="P85" i="1" s="1"/>
  <c r="O83" i="1"/>
  <c r="P83" i="1" s="1"/>
  <c r="AA85" i="1"/>
  <c r="X85" i="1"/>
  <c r="AA84" i="1"/>
  <c r="X84" i="1"/>
  <c r="AA83" i="1"/>
  <c r="X83" i="1"/>
  <c r="N63" i="1"/>
  <c r="N62" i="1"/>
  <c r="AA50" i="1"/>
  <c r="X50" i="1"/>
  <c r="AA49" i="1"/>
  <c r="X49" i="1"/>
  <c r="AA48" i="1"/>
  <c r="X48" i="1"/>
  <c r="O48" i="1"/>
  <c r="P48" i="1" s="1"/>
  <c r="AA47" i="1"/>
  <c r="X47" i="1"/>
  <c r="O47" i="1"/>
  <c r="P47" i="1" s="1"/>
  <c r="O45" i="1"/>
  <c r="P45" i="1" s="1"/>
  <c r="AA46" i="1"/>
  <c r="X46" i="1"/>
  <c r="AA45" i="1"/>
  <c r="X45" i="1"/>
  <c r="AA44" i="1"/>
  <c r="X44" i="1"/>
  <c r="O44" i="1"/>
  <c r="P44" i="1" s="1"/>
  <c r="AA43" i="1"/>
  <c r="X43" i="1"/>
  <c r="AA42" i="1"/>
  <c r="X42" i="1"/>
  <c r="AA41" i="1"/>
  <c r="X41" i="1"/>
  <c r="O41" i="1"/>
  <c r="P41" i="1" s="1"/>
  <c r="AA40" i="1"/>
  <c r="X40" i="1"/>
  <c r="O40" i="1"/>
  <c r="P40" i="1" s="1"/>
  <c r="AA39" i="1"/>
  <c r="X39" i="1"/>
  <c r="AA38" i="1"/>
  <c r="X38" i="1"/>
  <c r="O38" i="1"/>
  <c r="P38" i="1" s="1"/>
  <c r="AA37" i="1"/>
  <c r="X37" i="1"/>
  <c r="O37" i="1"/>
  <c r="P37" i="1" s="1"/>
  <c r="X36" i="1"/>
  <c r="AA36" i="1"/>
  <c r="AA35" i="1"/>
  <c r="X35" i="1"/>
  <c r="AA34" i="1"/>
  <c r="X34" i="1"/>
  <c r="O36" i="1"/>
  <c r="P36" i="1" s="1"/>
  <c r="O34" i="1"/>
  <c r="P34" i="1" s="1"/>
  <c r="AF99" i="1" l="1"/>
  <c r="AF34" i="1"/>
  <c r="AF35" i="1" s="1"/>
  <c r="AH34" i="1"/>
  <c r="AH35" i="1" s="1"/>
  <c r="AF83" i="1"/>
  <c r="AH83" i="1"/>
  <c r="AI83" i="1" s="1"/>
  <c r="AF92" i="1"/>
  <c r="AH92" i="1"/>
  <c r="AI92" i="1" s="1"/>
  <c r="AF106" i="1"/>
  <c r="AF107" i="1" s="1"/>
  <c r="AH106" i="1"/>
  <c r="AH107" i="1" s="1"/>
  <c r="AF116" i="1"/>
  <c r="AG116" i="1" s="1"/>
  <c r="AH116" i="1"/>
  <c r="AI116" i="1" s="1"/>
  <c r="AH117" i="1"/>
  <c r="AI117" i="1" s="1"/>
  <c r="AF117" i="1"/>
  <c r="AG117" i="1" s="1"/>
  <c r="AH129" i="1"/>
  <c r="AH130" i="1" s="1"/>
  <c r="AH131" i="1" s="1"/>
  <c r="AF129" i="1"/>
  <c r="AF130" i="1" s="1"/>
  <c r="AF131" i="1" s="1"/>
  <c r="AH137" i="1"/>
  <c r="AF137" i="1"/>
  <c r="AG137" i="1" s="1"/>
  <c r="AH141" i="1"/>
  <c r="AI141" i="1" s="1"/>
  <c r="AF141" i="1"/>
  <c r="AG141" i="1" s="1"/>
  <c r="AF147" i="1"/>
  <c r="AF148" i="1" s="1"/>
  <c r="AH147" i="1"/>
  <c r="AH148" i="1" s="1"/>
  <c r="AH161" i="1"/>
  <c r="AH162" i="1" s="1"/>
  <c r="AH163" i="1" s="1"/>
  <c r="AF161" i="1"/>
  <c r="AF162" i="1" s="1"/>
  <c r="AF163" i="1" s="1"/>
  <c r="AF44" i="1"/>
  <c r="AH44" i="1"/>
  <c r="AI44" i="1" s="1"/>
  <c r="AF101" i="1"/>
  <c r="AH101" i="1"/>
  <c r="AI101" i="1" s="1"/>
  <c r="AF108" i="1"/>
  <c r="AH108" i="1"/>
  <c r="AI108" i="1" s="1"/>
  <c r="AF115" i="1"/>
  <c r="AG115" i="1" s="1"/>
  <c r="AH115" i="1"/>
  <c r="AI115" i="1" s="1"/>
  <c r="AF126" i="1"/>
  <c r="AF127" i="1" s="1"/>
  <c r="AH126" i="1"/>
  <c r="AH127" i="1" s="1"/>
  <c r="AF38" i="1"/>
  <c r="AF39" i="1" s="1"/>
  <c r="AH38" i="1"/>
  <c r="AH39" i="1" s="1"/>
  <c r="AI39" i="1" s="1"/>
  <c r="AH41" i="1"/>
  <c r="AH42" i="1" s="1"/>
  <c r="AH43" i="1" s="1"/>
  <c r="AF41" i="1"/>
  <c r="AF42" i="1" s="1"/>
  <c r="AF43" i="1" s="1"/>
  <c r="AG43" i="1" s="1"/>
  <c r="AF84" i="1"/>
  <c r="AG84" i="1" s="1"/>
  <c r="AH84" i="1"/>
  <c r="AI84" i="1" s="1"/>
  <c r="AF90" i="1"/>
  <c r="AH90" i="1"/>
  <c r="AI90" i="1" s="1"/>
  <c r="AF94" i="1"/>
  <c r="AH94" i="1"/>
  <c r="AI94" i="1" s="1"/>
  <c r="AF87" i="1"/>
  <c r="AG87" i="1" s="1"/>
  <c r="AH87" i="1"/>
  <c r="AI87" i="1" s="1"/>
  <c r="AH89" i="1"/>
  <c r="AI89" i="1" s="1"/>
  <c r="AF89" i="1"/>
  <c r="AG89" i="1" s="1"/>
  <c r="AF97" i="1"/>
  <c r="AF98" i="1" s="1"/>
  <c r="AF102" i="1"/>
  <c r="AF103" i="1" s="1"/>
  <c r="AH102" i="1"/>
  <c r="AH103" i="1" s="1"/>
  <c r="AH105" i="1"/>
  <c r="AI105" i="1" s="1"/>
  <c r="AF105" i="1"/>
  <c r="AF114" i="1"/>
  <c r="AH114" i="1"/>
  <c r="AI114" i="1" s="1"/>
  <c r="AF95" i="1"/>
  <c r="AF96" i="1" s="1"/>
  <c r="AF118" i="1"/>
  <c r="AG118" i="1" s="1"/>
  <c r="AH118" i="1"/>
  <c r="AI118" i="1" s="1"/>
  <c r="AF128" i="1"/>
  <c r="AG128" i="1" s="1"/>
  <c r="AH128" i="1"/>
  <c r="AI128" i="1" s="1"/>
  <c r="AF132" i="1"/>
  <c r="AF133" i="1" s="1"/>
  <c r="AH132" i="1"/>
  <c r="AI132" i="1" s="1"/>
  <c r="AF134" i="1"/>
  <c r="AH134" i="1"/>
  <c r="AI134" i="1" s="1"/>
  <c r="AF138" i="1"/>
  <c r="AF139" i="1" s="1"/>
  <c r="AH138" i="1"/>
  <c r="AH139" i="1" s="1"/>
  <c r="AF140" i="1"/>
  <c r="AH140" i="1"/>
  <c r="AF142" i="1"/>
  <c r="AF143" i="1" s="1"/>
  <c r="AF144" i="1" s="1"/>
  <c r="AF145" i="1" s="1"/>
  <c r="AF146" i="1" s="1"/>
  <c r="AH142" i="1"/>
  <c r="AH143" i="1" s="1"/>
  <c r="AH144" i="1" s="1"/>
  <c r="AH145" i="1" s="1"/>
  <c r="AH146" i="1" s="1"/>
  <c r="AF151" i="1"/>
  <c r="AH151" i="1"/>
  <c r="AI151" i="1" s="1"/>
  <c r="AH157" i="1"/>
  <c r="AI157" i="1" s="1"/>
  <c r="AF157" i="1"/>
  <c r="AG157" i="1" s="1"/>
  <c r="AF160" i="1"/>
  <c r="AH160" i="1"/>
  <c r="AI160" i="1" s="1"/>
  <c r="AH165" i="1"/>
  <c r="AI165" i="1" s="1"/>
  <c r="AF165" i="1"/>
  <c r="AH169" i="1"/>
  <c r="AH170" i="1" s="1"/>
  <c r="AF169" i="1"/>
  <c r="AF170" i="1" s="1"/>
  <c r="AF48" i="1"/>
  <c r="AF49" i="1" s="1"/>
  <c r="AF50" i="1" s="1"/>
  <c r="AH48" i="1"/>
  <c r="AH49" i="1" s="1"/>
  <c r="AH50" i="1" s="1"/>
  <c r="AH85" i="1"/>
  <c r="AI85" i="1" s="1"/>
  <c r="AF85" i="1"/>
  <c r="AF86" i="1"/>
  <c r="AG86" i="1" s="1"/>
  <c r="AH86" i="1"/>
  <c r="AI86" i="1" s="1"/>
  <c r="AF88" i="1"/>
  <c r="AG88" i="1" s="1"/>
  <c r="AH88" i="1"/>
  <c r="AI88" i="1" s="1"/>
  <c r="AH96" i="1"/>
  <c r="AH109" i="1"/>
  <c r="AI109" i="1" s="1"/>
  <c r="AF109" i="1"/>
  <c r="AF112" i="1"/>
  <c r="AH112" i="1"/>
  <c r="AI112" i="1" s="1"/>
  <c r="AF119" i="1"/>
  <c r="AF120" i="1" s="1"/>
  <c r="AG120" i="1" s="1"/>
  <c r="AH119" i="1"/>
  <c r="AH120" i="1" s="1"/>
  <c r="AH121" i="1"/>
  <c r="AI121" i="1" s="1"/>
  <c r="AF121" i="1"/>
  <c r="AF124" i="1"/>
  <c r="AF125" i="1" s="1"/>
  <c r="AH124" i="1"/>
  <c r="AI124" i="1" s="1"/>
  <c r="AF135" i="1"/>
  <c r="AF136" i="1" s="1"/>
  <c r="AG136" i="1" s="1"/>
  <c r="AH135" i="1"/>
  <c r="AI135" i="1" s="1"/>
  <c r="AH149" i="1"/>
  <c r="AI149" i="1" s="1"/>
  <c r="AF149" i="1"/>
  <c r="AG149" i="1" s="1"/>
  <c r="AH153" i="1"/>
  <c r="AI153" i="1" s="1"/>
  <c r="AF153" i="1"/>
  <c r="AF156" i="1"/>
  <c r="AG156" i="1" s="1"/>
  <c r="AH156" i="1"/>
  <c r="AI156" i="1" s="1"/>
  <c r="AF158" i="1"/>
  <c r="AG158" i="1" s="1"/>
  <c r="AH158" i="1"/>
  <c r="AI158" i="1" s="1"/>
  <c r="AF167" i="1"/>
  <c r="AG167" i="1" s="1"/>
  <c r="AH167" i="1"/>
  <c r="AI167" i="1" s="1"/>
  <c r="AF36" i="1"/>
  <c r="AG36" i="1" s="1"/>
  <c r="AH36" i="1"/>
  <c r="AI36" i="1" s="1"/>
  <c r="AF47" i="1"/>
  <c r="AH47" i="1"/>
  <c r="AI47" i="1" s="1"/>
  <c r="AF91" i="1"/>
  <c r="AH91" i="1"/>
  <c r="AI91" i="1" s="1"/>
  <c r="AF152" i="1"/>
  <c r="AG152" i="1" s="1"/>
  <c r="AH152" i="1"/>
  <c r="AI152" i="1" s="1"/>
  <c r="AF166" i="1"/>
  <c r="AG166" i="1" s="1"/>
  <c r="AH166" i="1"/>
  <c r="AI166" i="1" s="1"/>
  <c r="AH37" i="1"/>
  <c r="AI37" i="1" s="1"/>
  <c r="AF37" i="1"/>
  <c r="AF40" i="1"/>
  <c r="AH40" i="1"/>
  <c r="AI40" i="1" s="1"/>
  <c r="AH45" i="1"/>
  <c r="AI45" i="1" s="1"/>
  <c r="AF45" i="1"/>
  <c r="AF46" i="1" s="1"/>
  <c r="AH93" i="1"/>
  <c r="AI93" i="1" s="1"/>
  <c r="AF93" i="1"/>
  <c r="AF100" i="1"/>
  <c r="AF104" i="1"/>
  <c r="AH104" i="1"/>
  <c r="AI104" i="1" s="1"/>
  <c r="AF110" i="1"/>
  <c r="AF111" i="1" s="1"/>
  <c r="AH110" i="1"/>
  <c r="AH111" i="1" s="1"/>
  <c r="AH113" i="1"/>
  <c r="AI113" i="1" s="1"/>
  <c r="AF113" i="1"/>
  <c r="AF122" i="1"/>
  <c r="AF123" i="1" s="1"/>
  <c r="AH122" i="1"/>
  <c r="AH123" i="1" s="1"/>
  <c r="AF150" i="1"/>
  <c r="AH150" i="1"/>
  <c r="AI150" i="1" s="1"/>
  <c r="AF154" i="1"/>
  <c r="AF155" i="1" s="1"/>
  <c r="AG155" i="1" s="1"/>
  <c r="AH154" i="1"/>
  <c r="AI154" i="1" s="1"/>
  <c r="AF159" i="1"/>
  <c r="AH159" i="1"/>
  <c r="AI159" i="1" s="1"/>
  <c r="AF164" i="1"/>
  <c r="AH164" i="1"/>
  <c r="AI164" i="1" s="1"/>
  <c r="AF168" i="1"/>
  <c r="AG168" i="1" s="1"/>
  <c r="AH168" i="1"/>
  <c r="AI168" i="1" s="1"/>
  <c r="AF171" i="1"/>
  <c r="AF172" i="1" s="1"/>
  <c r="AF173" i="1" s="1"/>
  <c r="AH171" i="1"/>
  <c r="AH172" i="1" s="1"/>
  <c r="AG24" i="1"/>
  <c r="AI140" i="1"/>
  <c r="T142" i="1"/>
  <c r="U142" i="1" s="1"/>
  <c r="T118" i="1"/>
  <c r="U118" i="1" s="1"/>
  <c r="U104" i="1"/>
  <c r="AI99" i="1"/>
  <c r="T108" i="1"/>
  <c r="U108" i="1" s="1"/>
  <c r="T115" i="1"/>
  <c r="U115" i="1" s="1"/>
  <c r="T126" i="1"/>
  <c r="U126" i="1" s="1"/>
  <c r="T106" i="1"/>
  <c r="U106" i="1" s="1"/>
  <c r="T112" i="1"/>
  <c r="U112" i="1" s="1"/>
  <c r="T134" i="1"/>
  <c r="U134" i="1" s="1"/>
  <c r="AI97" i="1"/>
  <c r="T124" i="1"/>
  <c r="U124" i="1" s="1"/>
  <c r="T164" i="1"/>
  <c r="U164" i="1" s="1"/>
  <c r="T150" i="1"/>
  <c r="U150" i="1" s="1"/>
  <c r="T166" i="1"/>
  <c r="U166" i="1" s="1"/>
  <c r="T149" i="1"/>
  <c r="U149" i="1" s="1"/>
  <c r="AI137" i="1"/>
  <c r="T100" i="1"/>
  <c r="U100" i="1" s="1"/>
  <c r="U154" i="1"/>
  <c r="T158" i="1"/>
  <c r="U158" i="1" s="1"/>
  <c r="T167" i="1"/>
  <c r="U167" i="1" s="1"/>
  <c r="T168" i="1"/>
  <c r="U168" i="1" s="1"/>
  <c r="T160" i="1"/>
  <c r="U160" i="1" s="1"/>
  <c r="T157" i="1"/>
  <c r="U157" i="1" s="1"/>
  <c r="T156" i="1"/>
  <c r="U156" i="1" s="1"/>
  <c r="T152" i="1"/>
  <c r="U152" i="1" s="1"/>
  <c r="T171" i="1"/>
  <c r="U171" i="1" s="1"/>
  <c r="T141" i="1"/>
  <c r="U141" i="1" s="1"/>
  <c r="T128" i="1"/>
  <c r="U128" i="1" s="1"/>
  <c r="T95" i="1"/>
  <c r="U95" i="1" s="1"/>
  <c r="T121" i="1"/>
  <c r="U121" i="1" s="1"/>
  <c r="T165" i="1"/>
  <c r="U165" i="1" s="1"/>
  <c r="T99" i="1"/>
  <c r="U99" i="1" s="1"/>
  <c r="AI100" i="1"/>
  <c r="T151" i="1"/>
  <c r="U151" i="1" s="1"/>
  <c r="T159" i="1"/>
  <c r="U159" i="1" s="1"/>
  <c r="T169" i="1"/>
  <c r="U169" i="1" s="1"/>
  <c r="T153" i="1"/>
  <c r="U153" i="1" s="1"/>
  <c r="T161" i="1"/>
  <c r="U161" i="1" s="1"/>
  <c r="T147" i="1"/>
  <c r="U147" i="1" s="1"/>
  <c r="T140" i="1"/>
  <c r="U140" i="1" s="1"/>
  <c r="T132" i="1"/>
  <c r="U132" i="1" s="1"/>
  <c r="T129" i="1"/>
  <c r="U129" i="1" s="1"/>
  <c r="T138" i="1"/>
  <c r="U138" i="1" s="1"/>
  <c r="T135" i="1"/>
  <c r="U135" i="1" s="1"/>
  <c r="T137" i="1"/>
  <c r="U137" i="1" s="1"/>
  <c r="T122" i="1"/>
  <c r="U122" i="1" s="1"/>
  <c r="T119" i="1"/>
  <c r="U119" i="1" s="1"/>
  <c r="T117" i="1"/>
  <c r="U117" i="1" s="1"/>
  <c r="T116" i="1"/>
  <c r="U116" i="1" s="1"/>
  <c r="T114" i="1"/>
  <c r="U114" i="1" s="1"/>
  <c r="T109" i="1"/>
  <c r="U109" i="1" s="1"/>
  <c r="T101" i="1"/>
  <c r="U101" i="1" s="1"/>
  <c r="T105" i="1"/>
  <c r="U105" i="1" s="1"/>
  <c r="T113" i="1"/>
  <c r="U113" i="1" s="1"/>
  <c r="T102" i="1"/>
  <c r="U102" i="1" s="1"/>
  <c r="T97" i="1"/>
  <c r="U97" i="1" s="1"/>
  <c r="U110" i="1"/>
  <c r="T89" i="1"/>
  <c r="U89" i="1" s="1"/>
  <c r="T91" i="1"/>
  <c r="U91" i="1" s="1"/>
  <c r="T88" i="1"/>
  <c r="U88" i="1" s="1"/>
  <c r="T87" i="1"/>
  <c r="U87" i="1" s="1"/>
  <c r="T86" i="1"/>
  <c r="U86" i="1" s="1"/>
  <c r="T92" i="1"/>
  <c r="U92" i="1" s="1"/>
  <c r="T84" i="1"/>
  <c r="U84" i="1" s="1"/>
  <c r="T83" i="1"/>
  <c r="U83" i="1" s="1"/>
  <c r="T47" i="1"/>
  <c r="U47" i="1" s="1"/>
  <c r="T93" i="1"/>
  <c r="U93" i="1" s="1"/>
  <c r="T85" i="1"/>
  <c r="U85" i="1" s="1"/>
  <c r="T48" i="1"/>
  <c r="U48" i="1" s="1"/>
  <c r="T90" i="1"/>
  <c r="U90" i="1" s="1"/>
  <c r="T94" i="1"/>
  <c r="U94" i="1" s="1"/>
  <c r="T45" i="1"/>
  <c r="U45" i="1" s="1"/>
  <c r="T44" i="1"/>
  <c r="U44" i="1" s="1"/>
  <c r="T41" i="1"/>
  <c r="U41" i="1" s="1"/>
  <c r="T38" i="1"/>
  <c r="U38" i="1" s="1"/>
  <c r="T37" i="1"/>
  <c r="U37" i="1" s="1"/>
  <c r="T40" i="1"/>
  <c r="U40" i="1" s="1"/>
  <c r="T34" i="1"/>
  <c r="U34" i="1" s="1"/>
  <c r="T36" i="1"/>
  <c r="U36" i="1" s="1"/>
  <c r="AI129" i="1" l="1"/>
  <c r="AI41" i="1"/>
  <c r="AI122" i="1"/>
  <c r="AI142" i="1"/>
  <c r="AI126" i="1"/>
  <c r="AH46" i="1"/>
  <c r="AI46" i="1" s="1"/>
  <c r="AI110" i="1"/>
  <c r="AG95" i="1"/>
  <c r="AI161" i="1"/>
  <c r="AI138" i="1"/>
  <c r="AG142" i="1"/>
  <c r="AI102" i="1"/>
  <c r="AI169" i="1"/>
  <c r="AI49" i="1"/>
  <c r="AH155" i="1"/>
  <c r="AI155" i="1" s="1"/>
  <c r="AH136" i="1"/>
  <c r="AI136" i="1" s="1"/>
  <c r="AH173" i="1"/>
  <c r="AI172" i="1"/>
  <c r="AI119" i="1"/>
  <c r="AI106" i="1"/>
  <c r="AH125" i="1"/>
  <c r="AI125" i="1" s="1"/>
  <c r="AH133" i="1"/>
  <c r="AI133" i="1" s="1"/>
  <c r="AI34" i="1"/>
  <c r="AG97" i="1"/>
  <c r="AG98" i="1"/>
  <c r="AG126" i="1"/>
  <c r="AG122" i="1"/>
  <c r="AG48" i="1"/>
  <c r="AG161" i="1"/>
  <c r="AG25" i="1"/>
  <c r="AG26" i="1"/>
  <c r="AG151" i="1"/>
  <c r="AJ151" i="1"/>
  <c r="AK151" i="1" s="1"/>
  <c r="AG111" i="1"/>
  <c r="AJ110" i="1"/>
  <c r="AK110" i="1" s="1"/>
  <c r="AI48" i="1"/>
  <c r="AG174" i="1"/>
  <c r="AJ159" i="1"/>
  <c r="AI139" i="1"/>
  <c r="AJ138" i="1"/>
  <c r="AK138" i="1" s="1"/>
  <c r="AI127" i="1"/>
  <c r="AG140" i="1"/>
  <c r="AJ140" i="1"/>
  <c r="AK140" i="1" s="1"/>
  <c r="AG159" i="1"/>
  <c r="AJ152" i="1"/>
  <c r="AK152" i="1" s="1"/>
  <c r="AG124" i="1"/>
  <c r="AI103" i="1"/>
  <c r="AG135" i="1"/>
  <c r="AJ160" i="1"/>
  <c r="AK160" i="1" s="1"/>
  <c r="AG171" i="1"/>
  <c r="AJ89" i="1"/>
  <c r="AK89" i="1" s="1"/>
  <c r="AJ149" i="1"/>
  <c r="AG119" i="1"/>
  <c r="AJ169" i="1"/>
  <c r="AK169" i="1" s="1"/>
  <c r="AG154" i="1"/>
  <c r="AI98" i="1"/>
  <c r="AJ168" i="1"/>
  <c r="AK168" i="1" s="1"/>
  <c r="AI123" i="1"/>
  <c r="AG170" i="1"/>
  <c r="AJ153" i="1"/>
  <c r="AK153" i="1" s="1"/>
  <c r="AG173" i="1"/>
  <c r="AG172" i="1"/>
  <c r="AG138" i="1"/>
  <c r="AJ121" i="1"/>
  <c r="AK121" i="1" s="1"/>
  <c r="AJ166" i="1"/>
  <c r="AK166" i="1" s="1"/>
  <c r="AJ150" i="1"/>
  <c r="AK150" i="1" s="1"/>
  <c r="AI143" i="1"/>
  <c r="AJ124" i="1"/>
  <c r="AK124" i="1" s="1"/>
  <c r="AJ156" i="1"/>
  <c r="AK156" i="1" s="1"/>
  <c r="AJ171" i="1"/>
  <c r="AK171" i="1" s="1"/>
  <c r="AJ154" i="1"/>
  <c r="AK154" i="1" s="1"/>
  <c r="AI170" i="1"/>
  <c r="AG160" i="1"/>
  <c r="AI171" i="1"/>
  <c r="AJ172" i="1"/>
  <c r="AK172" i="1" s="1"/>
  <c r="AI107" i="1"/>
  <c r="AJ87" i="1"/>
  <c r="AK87" i="1" s="1"/>
  <c r="AG123" i="1"/>
  <c r="AJ88" i="1"/>
  <c r="AK88" i="1" s="1"/>
  <c r="AJ157" i="1"/>
  <c r="AK157" i="1" s="1"/>
  <c r="AJ167" i="1"/>
  <c r="AK167" i="1" s="1"/>
  <c r="AG169" i="1"/>
  <c r="AG148" i="1"/>
  <c r="AG130" i="1"/>
  <c r="AI147" i="1"/>
  <c r="AI148" i="1"/>
  <c r="AJ132" i="1"/>
  <c r="AK132" i="1" s="1"/>
  <c r="AJ141" i="1"/>
  <c r="AK141" i="1" s="1"/>
  <c r="AJ84" i="1"/>
  <c r="AK84" i="1" s="1"/>
  <c r="AG132" i="1"/>
  <c r="AJ161" i="1"/>
  <c r="AK161" i="1" s="1"/>
  <c r="AJ135" i="1"/>
  <c r="AK135" i="1" s="1"/>
  <c r="AJ119" i="1"/>
  <c r="AK119" i="1" s="1"/>
  <c r="AG110" i="1"/>
  <c r="AJ115" i="1"/>
  <c r="AK115" i="1" s="1"/>
  <c r="AI120" i="1"/>
  <c r="AG150" i="1"/>
  <c r="AJ142" i="1"/>
  <c r="AK142" i="1" s="1"/>
  <c r="AJ147" i="1"/>
  <c r="AK147" i="1" s="1"/>
  <c r="AJ164" i="1"/>
  <c r="AK164" i="1" s="1"/>
  <c r="AG164" i="1"/>
  <c r="AJ129" i="1"/>
  <c r="AK129" i="1" s="1"/>
  <c r="AG147" i="1"/>
  <c r="AJ158" i="1"/>
  <c r="AJ116" i="1"/>
  <c r="AK116" i="1" s="1"/>
  <c r="AJ128" i="1"/>
  <c r="AK128" i="1" s="1"/>
  <c r="AJ165" i="1"/>
  <c r="AK165" i="1" s="1"/>
  <c r="AG165" i="1"/>
  <c r="AG121" i="1"/>
  <c r="AJ118" i="1"/>
  <c r="AK118" i="1" s="1"/>
  <c r="AJ122" i="1"/>
  <c r="AK122" i="1" s="1"/>
  <c r="AG153" i="1"/>
  <c r="AG107" i="1"/>
  <c r="AI95" i="1"/>
  <c r="AI96" i="1"/>
  <c r="AG103" i="1"/>
  <c r="AJ95" i="1"/>
  <c r="AK95" i="1" s="1"/>
  <c r="AI111" i="1"/>
  <c r="AJ137" i="1"/>
  <c r="AK137" i="1" s="1"/>
  <c r="AJ126" i="1"/>
  <c r="AK126" i="1" s="1"/>
  <c r="AG125" i="1"/>
  <c r="AJ117" i="1"/>
  <c r="AK117" i="1" s="1"/>
  <c r="AJ86" i="1"/>
  <c r="AK86" i="1" s="1"/>
  <c r="AG129" i="1"/>
  <c r="AJ134" i="1"/>
  <c r="AK134" i="1" s="1"/>
  <c r="AG134" i="1"/>
  <c r="AJ97" i="1"/>
  <c r="AK97" i="1" s="1"/>
  <c r="AG113" i="1"/>
  <c r="AJ113" i="1"/>
  <c r="AK113" i="1" s="1"/>
  <c r="AJ109" i="1"/>
  <c r="AK109" i="1" s="1"/>
  <c r="AG109" i="1"/>
  <c r="AG105" i="1"/>
  <c r="AJ105" i="1"/>
  <c r="AK105" i="1" s="1"/>
  <c r="AG104" i="1"/>
  <c r="AJ104" i="1"/>
  <c r="AK104" i="1" s="1"/>
  <c r="AJ114" i="1"/>
  <c r="AK114" i="1" s="1"/>
  <c r="AG114" i="1"/>
  <c r="AJ101" i="1"/>
  <c r="AK101" i="1" s="1"/>
  <c r="AG101" i="1"/>
  <c r="AJ106" i="1"/>
  <c r="AK106" i="1" s="1"/>
  <c r="AG106" i="1"/>
  <c r="AJ102" i="1"/>
  <c r="AK102" i="1" s="1"/>
  <c r="AG102" i="1"/>
  <c r="AJ100" i="1"/>
  <c r="AK100" i="1" s="1"/>
  <c r="AG100" i="1"/>
  <c r="AG112" i="1"/>
  <c r="AJ112" i="1"/>
  <c r="AK112" i="1" s="1"/>
  <c r="AJ99" i="1"/>
  <c r="AK99" i="1" s="1"/>
  <c r="AG99" i="1"/>
  <c r="AJ108" i="1"/>
  <c r="AK108" i="1" s="1"/>
  <c r="AG108" i="1"/>
  <c r="AG50" i="1"/>
  <c r="AJ48" i="1"/>
  <c r="AK48" i="1" s="1"/>
  <c r="AJ85" i="1"/>
  <c r="AK85" i="1" s="1"/>
  <c r="AI38" i="1"/>
  <c r="AG85" i="1"/>
  <c r="AJ83" i="1"/>
  <c r="AK83" i="1" s="1"/>
  <c r="AG83" i="1"/>
  <c r="AI50" i="1"/>
  <c r="AJ94" i="1"/>
  <c r="AK94" i="1" s="1"/>
  <c r="AG94" i="1"/>
  <c r="AG90" i="1"/>
  <c r="AJ90" i="1"/>
  <c r="AK90" i="1" s="1"/>
  <c r="AG91" i="1"/>
  <c r="AJ91" i="1"/>
  <c r="AK91" i="1" s="1"/>
  <c r="AJ92" i="1"/>
  <c r="AK92" i="1" s="1"/>
  <c r="AG92" i="1"/>
  <c r="AJ93" i="1"/>
  <c r="AK93" i="1" s="1"/>
  <c r="AG93" i="1"/>
  <c r="AJ47" i="1"/>
  <c r="AK47" i="1" s="1"/>
  <c r="AG47" i="1"/>
  <c r="AG45" i="1"/>
  <c r="AJ45" i="1"/>
  <c r="AK45" i="1" s="1"/>
  <c r="AG41" i="1"/>
  <c r="AJ41" i="1"/>
  <c r="AK41" i="1" s="1"/>
  <c r="AJ42" i="1"/>
  <c r="AK42" i="1" s="1"/>
  <c r="AG44" i="1"/>
  <c r="AJ44" i="1"/>
  <c r="AK44" i="1" s="1"/>
  <c r="AJ36" i="1"/>
  <c r="AK36" i="1" s="1"/>
  <c r="AG42" i="1"/>
  <c r="AI35" i="1"/>
  <c r="AJ40" i="1"/>
  <c r="AK40" i="1" s="1"/>
  <c r="AJ38" i="1"/>
  <c r="AK38" i="1" s="1"/>
  <c r="AG38" i="1"/>
  <c r="AG40" i="1"/>
  <c r="AG34" i="1"/>
  <c r="AJ34" i="1"/>
  <c r="AK34" i="1" s="1"/>
  <c r="AG37" i="1"/>
  <c r="AJ37" i="1"/>
  <c r="AK37" i="1" s="1"/>
  <c r="AG35" i="1"/>
  <c r="O58" i="1"/>
  <c r="P58" i="1" s="1"/>
  <c r="AA54" i="1"/>
  <c r="X54" i="1"/>
  <c r="F194" i="8"/>
  <c r="E194" i="8"/>
  <c r="AJ35" i="1" l="1"/>
  <c r="AK159" i="1"/>
  <c r="AL159" i="1" s="1"/>
  <c r="AK158" i="1"/>
  <c r="AL158" i="1" s="1"/>
  <c r="AK149" i="1"/>
  <c r="AL149" i="1" s="1"/>
  <c r="AJ139" i="1"/>
  <c r="AK139" i="1" s="1"/>
  <c r="AL138" i="1" s="1"/>
  <c r="AI173" i="1"/>
  <c r="AL36" i="1"/>
  <c r="AL91" i="1"/>
  <c r="AL83" i="1"/>
  <c r="AL113" i="1"/>
  <c r="AL117" i="1"/>
  <c r="AL88" i="1"/>
  <c r="AL44" i="1"/>
  <c r="AL134" i="1"/>
  <c r="AL137" i="1"/>
  <c r="AL141" i="1"/>
  <c r="AL121" i="1"/>
  <c r="AL115" i="1"/>
  <c r="AL167" i="1"/>
  <c r="AL87" i="1"/>
  <c r="AL153" i="1"/>
  <c r="AL40" i="1"/>
  <c r="AL105" i="1"/>
  <c r="AL118" i="1"/>
  <c r="AL128" i="1"/>
  <c r="AL164" i="1"/>
  <c r="AL84" i="1"/>
  <c r="AL166" i="1"/>
  <c r="AL93" i="1"/>
  <c r="AL94" i="1"/>
  <c r="AL114" i="1"/>
  <c r="AL116" i="1"/>
  <c r="AL168" i="1"/>
  <c r="AL89" i="1"/>
  <c r="AL140" i="1"/>
  <c r="AL37" i="1"/>
  <c r="AL90" i="1"/>
  <c r="AL112" i="1"/>
  <c r="AL104" i="1"/>
  <c r="AL47" i="1"/>
  <c r="AL92" i="1"/>
  <c r="AL85" i="1"/>
  <c r="AL108" i="1"/>
  <c r="AL101" i="1"/>
  <c r="AL109" i="1"/>
  <c r="AL86" i="1"/>
  <c r="AL165" i="1"/>
  <c r="AL157" i="1"/>
  <c r="AL156" i="1"/>
  <c r="AL150" i="1"/>
  <c r="AL151" i="1"/>
  <c r="AL160" i="1"/>
  <c r="AL152" i="1"/>
  <c r="AL99" i="1"/>
  <c r="AL100" i="1"/>
  <c r="AJ125" i="1"/>
  <c r="AK125" i="1" s="1"/>
  <c r="AL124" i="1" s="1"/>
  <c r="AJ103" i="1"/>
  <c r="AJ98" i="1"/>
  <c r="AK98" i="1" s="1"/>
  <c r="AL97" i="1" s="1"/>
  <c r="AG139" i="1"/>
  <c r="AJ120" i="1"/>
  <c r="AK120" i="1" s="1"/>
  <c r="AL119" i="1" s="1"/>
  <c r="AJ155" i="1"/>
  <c r="AK155" i="1" s="1"/>
  <c r="AL154" i="1" s="1"/>
  <c r="AJ173" i="1"/>
  <c r="AK173" i="1" s="1"/>
  <c r="AL171" i="1" s="1"/>
  <c r="AJ107" i="1"/>
  <c r="AK107" i="1" s="1"/>
  <c r="AL106" i="1" s="1"/>
  <c r="AJ123" i="1"/>
  <c r="AK123" i="1" s="1"/>
  <c r="AL122" i="1" s="1"/>
  <c r="AJ170" i="1"/>
  <c r="AK170" i="1" s="1"/>
  <c r="AL169" i="1" s="1"/>
  <c r="AG162" i="1"/>
  <c r="AJ162" i="1"/>
  <c r="AK162" i="1" s="1"/>
  <c r="AI130" i="1"/>
  <c r="AI131" i="1"/>
  <c r="AJ136" i="1"/>
  <c r="AK136" i="1" s="1"/>
  <c r="AL135" i="1" s="1"/>
  <c r="AJ130" i="1"/>
  <c r="AK130" i="1" s="1"/>
  <c r="AJ143" i="1"/>
  <c r="AK143" i="1" s="1"/>
  <c r="AG143" i="1"/>
  <c r="AG131" i="1"/>
  <c r="AI162" i="1"/>
  <c r="AI163" i="1"/>
  <c r="AJ133" i="1"/>
  <c r="AK133" i="1" s="1"/>
  <c r="AL132" i="1" s="1"/>
  <c r="AG133" i="1"/>
  <c r="AJ148" i="1"/>
  <c r="AK148" i="1" s="1"/>
  <c r="AL147" i="1" s="1"/>
  <c r="AJ111" i="1"/>
  <c r="AK111" i="1" s="1"/>
  <c r="AL110" i="1" s="1"/>
  <c r="AG96" i="1"/>
  <c r="AJ96" i="1"/>
  <c r="AK96" i="1" s="1"/>
  <c r="AL95" i="1" s="1"/>
  <c r="AJ127" i="1"/>
  <c r="AK127" i="1" s="1"/>
  <c r="AL126" i="1" s="1"/>
  <c r="AG127" i="1"/>
  <c r="AJ49" i="1"/>
  <c r="AK49" i="1" s="1"/>
  <c r="AG49" i="1"/>
  <c r="AJ50" i="1"/>
  <c r="AK50" i="1" s="1"/>
  <c r="AL48" i="1" s="1"/>
  <c r="AG46" i="1"/>
  <c r="AJ46" i="1"/>
  <c r="AK46" i="1" s="1"/>
  <c r="AL45" i="1" s="1"/>
  <c r="AI42" i="1"/>
  <c r="AJ39" i="1"/>
  <c r="AK39" i="1" s="1"/>
  <c r="AL38" i="1" s="1"/>
  <c r="AG39" i="1"/>
  <c r="T58" i="1"/>
  <c r="U58" i="1" s="1"/>
  <c r="AK103" i="1" l="1"/>
  <c r="AL102" i="1" s="1"/>
  <c r="AK35" i="1"/>
  <c r="AL34" i="1" s="1"/>
  <c r="AI174" i="1"/>
  <c r="AJ174" i="1"/>
  <c r="AI144" i="1"/>
  <c r="AI145" i="1"/>
  <c r="AI146" i="1"/>
  <c r="AJ131" i="1"/>
  <c r="AK131" i="1" s="1"/>
  <c r="AL129" i="1" s="1"/>
  <c r="AG163" i="1"/>
  <c r="AJ163" i="1"/>
  <c r="AK163" i="1" s="1"/>
  <c r="AL161" i="1" s="1"/>
  <c r="AJ144" i="1"/>
  <c r="AK144" i="1" s="1"/>
  <c r="AG144" i="1"/>
  <c r="AJ43" i="1"/>
  <c r="AK43" i="1" s="1"/>
  <c r="AL41" i="1" s="1"/>
  <c r="AI43" i="1"/>
  <c r="AA82" i="1"/>
  <c r="AA81" i="1"/>
  <c r="AA80" i="1"/>
  <c r="AA79" i="1"/>
  <c r="AA78" i="1"/>
  <c r="AA77" i="1"/>
  <c r="AA76" i="1"/>
  <c r="AA75" i="1"/>
  <c r="AA74" i="1"/>
  <c r="AA73" i="1"/>
  <c r="AA72" i="1"/>
  <c r="AA71" i="1"/>
  <c r="AA70" i="1"/>
  <c r="AA69" i="1"/>
  <c r="AA68" i="1"/>
  <c r="AA67" i="1"/>
  <c r="AA66" i="1"/>
  <c r="AA65" i="1"/>
  <c r="AA64" i="1"/>
  <c r="AA63" i="1"/>
  <c r="AA62" i="1"/>
  <c r="AA61" i="1"/>
  <c r="AA60" i="1"/>
  <c r="AA59" i="1"/>
  <c r="AA58" i="1"/>
  <c r="AA51" i="1"/>
  <c r="AA33" i="1"/>
  <c r="AA16" i="1"/>
  <c r="AA15" i="1"/>
  <c r="AA14" i="1"/>
  <c r="AA13" i="1"/>
  <c r="AA12" i="1"/>
  <c r="AA11" i="1"/>
  <c r="AA10" i="1"/>
  <c r="AK174" i="1" l="1"/>
  <c r="AL174" i="1" s="1"/>
  <c r="AG145" i="1"/>
  <c r="AJ145" i="1"/>
  <c r="AK145" i="1" s="1"/>
  <c r="X16" i="1"/>
  <c r="O16" i="1"/>
  <c r="P16" i="1" s="1"/>
  <c r="X14" i="1"/>
  <c r="X15" i="1"/>
  <c r="G10" i="6"/>
  <c r="X82" i="1"/>
  <c r="X81" i="1"/>
  <c r="O81" i="1"/>
  <c r="P81" i="1" s="1"/>
  <c r="X80" i="1"/>
  <c r="X79" i="1"/>
  <c r="O79" i="1"/>
  <c r="P79" i="1" s="1"/>
  <c r="X78" i="1"/>
  <c r="O78" i="1"/>
  <c r="P78" i="1" s="1"/>
  <c r="X77" i="1"/>
  <c r="O77" i="1"/>
  <c r="P77" i="1" s="1"/>
  <c r="X76" i="1"/>
  <c r="X75" i="1"/>
  <c r="O75" i="1"/>
  <c r="P75" i="1" s="1"/>
  <c r="X74" i="1"/>
  <c r="O74" i="1"/>
  <c r="P74" i="1" s="1"/>
  <c r="X73" i="1"/>
  <c r="O73" i="1"/>
  <c r="P73" i="1" s="1"/>
  <c r="X72" i="1"/>
  <c r="O72" i="1"/>
  <c r="P72" i="1" s="1"/>
  <c r="X71" i="1"/>
  <c r="O71" i="1"/>
  <c r="P71" i="1" s="1"/>
  <c r="X70" i="1"/>
  <c r="O70" i="1"/>
  <c r="P70" i="1" s="1"/>
  <c r="X69" i="1"/>
  <c r="O69" i="1"/>
  <c r="P69" i="1" s="1"/>
  <c r="X68" i="1"/>
  <c r="O68" i="1"/>
  <c r="P68" i="1" s="1"/>
  <c r="X67" i="1"/>
  <c r="O67" i="1"/>
  <c r="P67" i="1" s="1"/>
  <c r="X66" i="1"/>
  <c r="O66" i="1"/>
  <c r="P66" i="1" s="1"/>
  <c r="X65" i="1"/>
  <c r="O65" i="1"/>
  <c r="P65" i="1" s="1"/>
  <c r="X64" i="1"/>
  <c r="O64" i="1"/>
  <c r="P64" i="1" s="1"/>
  <c r="X63" i="1"/>
  <c r="O63" i="1"/>
  <c r="P63" i="1" s="1"/>
  <c r="X62" i="1"/>
  <c r="O62" i="1"/>
  <c r="P62" i="1" s="1"/>
  <c r="X61" i="1"/>
  <c r="O61" i="1"/>
  <c r="P61" i="1" s="1"/>
  <c r="X60" i="1"/>
  <c r="O60" i="1"/>
  <c r="P60" i="1" s="1"/>
  <c r="X59" i="1"/>
  <c r="O59" i="1"/>
  <c r="P59" i="1" s="1"/>
  <c r="X58" i="1"/>
  <c r="X51" i="1"/>
  <c r="O51" i="1"/>
  <c r="P51" i="1" s="1"/>
  <c r="X33" i="1"/>
  <c r="O33" i="1"/>
  <c r="P33" i="1" s="1"/>
  <c r="X13" i="1"/>
  <c r="O13" i="1"/>
  <c r="P13" i="1" s="1"/>
  <c r="X12" i="1"/>
  <c r="O12" i="1"/>
  <c r="P12" i="1" s="1"/>
  <c r="X11" i="1"/>
  <c r="O11" i="1"/>
  <c r="P11" i="1" s="1"/>
  <c r="X10" i="1"/>
  <c r="O10" i="1"/>
  <c r="P10" i="1" s="1"/>
  <c r="AA9" i="1"/>
  <c r="X9" i="1"/>
  <c r="O9" i="1"/>
  <c r="P9" i="1" s="1"/>
  <c r="H10" i="6"/>
  <c r="F10" i="6"/>
  <c r="E10" i="6"/>
  <c r="D10" i="6"/>
  <c r="H8" i="6"/>
  <c r="G8" i="6"/>
  <c r="F8" i="6"/>
  <c r="E8" i="6"/>
  <c r="D8" i="6"/>
  <c r="H6" i="6"/>
  <c r="G6" i="6"/>
  <c r="F6" i="6"/>
  <c r="E6" i="6"/>
  <c r="D6" i="6"/>
  <c r="H4" i="6"/>
  <c r="G4" i="6"/>
  <c r="F4" i="6"/>
  <c r="E4" i="6"/>
  <c r="D4" i="6"/>
  <c r="H2" i="6"/>
  <c r="G2" i="6"/>
  <c r="F2" i="6"/>
  <c r="E2" i="6"/>
  <c r="D2" i="6"/>
  <c r="AH9" i="1" l="1"/>
  <c r="AI9" i="1" s="1"/>
  <c r="AF9" i="1"/>
  <c r="AF59" i="1"/>
  <c r="AH59" i="1"/>
  <c r="AI59" i="1" s="1"/>
  <c r="AF63" i="1"/>
  <c r="AH63" i="1"/>
  <c r="AI63" i="1" s="1"/>
  <c r="AF67" i="1"/>
  <c r="AH67" i="1"/>
  <c r="AI67" i="1" s="1"/>
  <c r="AF71" i="1"/>
  <c r="AH71" i="1"/>
  <c r="AI71" i="1" s="1"/>
  <c r="AF13" i="1"/>
  <c r="AF14" i="1" s="1"/>
  <c r="AF15" i="1" s="1"/>
  <c r="AH13" i="1"/>
  <c r="AH14" i="1" s="1"/>
  <c r="AH15" i="1" s="1"/>
  <c r="AF78" i="1"/>
  <c r="AH78" i="1"/>
  <c r="AI78" i="1" s="1"/>
  <c r="AF58" i="1"/>
  <c r="AH58" i="1"/>
  <c r="AI58" i="1" s="1"/>
  <c r="AF60" i="1"/>
  <c r="AG60" i="1" s="1"/>
  <c r="AH60" i="1"/>
  <c r="AI60" i="1" s="1"/>
  <c r="AF62" i="1"/>
  <c r="AH62" i="1"/>
  <c r="AI62" i="1" s="1"/>
  <c r="AF64" i="1"/>
  <c r="AG64" i="1" s="1"/>
  <c r="AH64" i="1"/>
  <c r="AI64" i="1" s="1"/>
  <c r="AF66" i="1"/>
  <c r="AH66" i="1"/>
  <c r="AI66" i="1" s="1"/>
  <c r="AF68" i="1"/>
  <c r="AG68" i="1" s="1"/>
  <c r="AH68" i="1"/>
  <c r="AI68" i="1" s="1"/>
  <c r="AF70" i="1"/>
  <c r="AH70" i="1"/>
  <c r="AI70" i="1" s="1"/>
  <c r="AF72" i="1"/>
  <c r="AH72" i="1"/>
  <c r="AI72" i="1" s="1"/>
  <c r="AF74" i="1"/>
  <c r="AH74" i="1"/>
  <c r="AI74" i="1" s="1"/>
  <c r="AH81" i="1"/>
  <c r="AH82" i="1" s="1"/>
  <c r="AF81" i="1"/>
  <c r="AF82" i="1" s="1"/>
  <c r="AH61" i="1"/>
  <c r="AI61" i="1" s="1"/>
  <c r="AF61" i="1"/>
  <c r="AH65" i="1"/>
  <c r="AI65" i="1" s="1"/>
  <c r="AF65" i="1"/>
  <c r="AH69" i="1"/>
  <c r="AI69" i="1" s="1"/>
  <c r="AF69" i="1"/>
  <c r="AH73" i="1"/>
  <c r="AI73" i="1" s="1"/>
  <c r="AF73" i="1"/>
  <c r="AF75" i="1"/>
  <c r="AF76" i="1" s="1"/>
  <c r="AG76" i="1" s="1"/>
  <c r="AH75" i="1"/>
  <c r="AH76" i="1" s="1"/>
  <c r="AI76" i="1" s="1"/>
  <c r="AF16" i="1"/>
  <c r="AF17" i="1" s="1"/>
  <c r="AH16" i="1"/>
  <c r="AH17" i="1" s="1"/>
  <c r="AF11" i="1"/>
  <c r="AG11" i="1" s="1"/>
  <c r="AH11" i="1"/>
  <c r="AI11" i="1" s="1"/>
  <c r="AF51" i="1"/>
  <c r="AF52" i="1" s="1"/>
  <c r="AF53" i="1" s="1"/>
  <c r="AF54" i="1" s="1"/>
  <c r="AH51" i="1"/>
  <c r="AH52" i="1" s="1"/>
  <c r="AH53" i="1" s="1"/>
  <c r="AH54" i="1" s="1"/>
  <c r="AH10" i="1"/>
  <c r="AI10" i="1" s="1"/>
  <c r="AF10" i="1"/>
  <c r="AG10" i="1" s="1"/>
  <c r="AF12" i="1"/>
  <c r="AH12" i="1"/>
  <c r="AI12" i="1" s="1"/>
  <c r="AH33" i="1"/>
  <c r="AI33" i="1" s="1"/>
  <c r="AF33" i="1"/>
  <c r="AH77" i="1"/>
  <c r="AI77" i="1" s="1"/>
  <c r="AF77" i="1"/>
  <c r="AF79" i="1"/>
  <c r="AF80" i="1" s="1"/>
  <c r="AH79" i="1"/>
  <c r="AH80" i="1" s="1"/>
  <c r="T9" i="1"/>
  <c r="U9" i="1" s="1"/>
  <c r="AG146" i="1"/>
  <c r="AJ146" i="1"/>
  <c r="AK146" i="1" s="1"/>
  <c r="AL142" i="1" s="1"/>
  <c r="T33" i="1"/>
  <c r="U33" i="1" s="1"/>
  <c r="T69" i="1"/>
  <c r="U69" i="1" s="1"/>
  <c r="T10" i="1"/>
  <c r="U10" i="1" s="1"/>
  <c r="T16" i="1"/>
  <c r="U16" i="1" s="1"/>
  <c r="T66" i="1"/>
  <c r="U66" i="1" s="1"/>
  <c r="T78" i="1"/>
  <c r="U78" i="1" s="1"/>
  <c r="T81" i="1"/>
  <c r="U81" i="1" s="1"/>
  <c r="T65" i="1"/>
  <c r="U65" i="1" s="1"/>
  <c r="T74" i="1"/>
  <c r="U74" i="1" s="1"/>
  <c r="T77" i="1"/>
  <c r="U77" i="1" s="1"/>
  <c r="T51" i="1"/>
  <c r="U51" i="1" s="1"/>
  <c r="T61" i="1"/>
  <c r="U61" i="1" s="1"/>
  <c r="T73" i="1"/>
  <c r="U73" i="1" s="1"/>
  <c r="T13" i="1"/>
  <c r="U13" i="1" s="1"/>
  <c r="T62" i="1"/>
  <c r="U62" i="1" s="1"/>
  <c r="T70" i="1"/>
  <c r="U70" i="1" s="1"/>
  <c r="T71" i="1"/>
  <c r="U71" i="1" s="1"/>
  <c r="T75" i="1"/>
  <c r="U75" i="1" s="1"/>
  <c r="T79" i="1"/>
  <c r="U79" i="1" s="1"/>
  <c r="T11" i="1"/>
  <c r="U11" i="1" s="1"/>
  <c r="T59" i="1"/>
  <c r="U59" i="1" s="1"/>
  <c r="T63" i="1"/>
  <c r="U63" i="1" s="1"/>
  <c r="T67" i="1"/>
  <c r="U67" i="1" s="1"/>
  <c r="T60" i="1"/>
  <c r="U60" i="1" s="1"/>
  <c r="T64" i="1"/>
  <c r="U64" i="1" s="1"/>
  <c r="T68" i="1"/>
  <c r="U68" i="1" s="1"/>
  <c r="T72" i="1"/>
  <c r="U72" i="1" s="1"/>
  <c r="T12" i="1"/>
  <c r="U12" i="1" s="1"/>
  <c r="AJ9" i="1" l="1"/>
  <c r="AK9" i="1" s="1"/>
  <c r="AI13" i="1"/>
  <c r="AI81" i="1"/>
  <c r="AI79" i="1"/>
  <c r="AI75" i="1"/>
  <c r="AI51" i="1"/>
  <c r="AG51" i="1"/>
  <c r="AI52" i="1"/>
  <c r="AG17" i="1"/>
  <c r="AG13" i="1"/>
  <c r="AJ13" i="1"/>
  <c r="AK13" i="1" s="1"/>
  <c r="AG9" i="1"/>
  <c r="AG80" i="1"/>
  <c r="AG82" i="1"/>
  <c r="AI82" i="1"/>
  <c r="AI80" i="1"/>
  <c r="AG33" i="1"/>
  <c r="AJ33" i="1"/>
  <c r="AK33" i="1" s="1"/>
  <c r="AL33" i="1" s="1"/>
  <c r="AJ51" i="1"/>
  <c r="AK51" i="1" s="1"/>
  <c r="AJ12" i="1"/>
  <c r="AK12" i="1" s="1"/>
  <c r="AL12" i="1" s="1"/>
  <c r="AJ60" i="1"/>
  <c r="AJ72" i="1"/>
  <c r="AK72" i="1" s="1"/>
  <c r="AG72" i="1"/>
  <c r="AJ68" i="1"/>
  <c r="AK68" i="1" s="1"/>
  <c r="AG12" i="1"/>
  <c r="AJ76" i="1"/>
  <c r="AK76" i="1" s="1"/>
  <c r="AL75" i="1" s="1"/>
  <c r="AJ64" i="1"/>
  <c r="AK64" i="1" s="1"/>
  <c r="AG16" i="1"/>
  <c r="AG81" i="1"/>
  <c r="AJ81" i="1"/>
  <c r="AK81" i="1" s="1"/>
  <c r="AJ74" i="1"/>
  <c r="AK74" i="1" s="1"/>
  <c r="AG74" i="1"/>
  <c r="AJ67" i="1"/>
  <c r="AK67" i="1" s="1"/>
  <c r="AG67" i="1"/>
  <c r="AJ11" i="1"/>
  <c r="AK11" i="1" s="1"/>
  <c r="AJ75" i="1"/>
  <c r="AK75" i="1" s="1"/>
  <c r="AG75" i="1"/>
  <c r="AG77" i="1"/>
  <c r="AJ77" i="1"/>
  <c r="AK77" i="1" s="1"/>
  <c r="AG73" i="1"/>
  <c r="AJ73" i="1"/>
  <c r="AK73" i="1" s="1"/>
  <c r="AJ70" i="1"/>
  <c r="AK70" i="1" s="1"/>
  <c r="AG70" i="1"/>
  <c r="AG69" i="1"/>
  <c r="AJ69" i="1"/>
  <c r="AK69" i="1" s="1"/>
  <c r="AJ78" i="1"/>
  <c r="AK78" i="1" s="1"/>
  <c r="AG78" i="1"/>
  <c r="AG65" i="1"/>
  <c r="AJ65" i="1"/>
  <c r="AK65" i="1" s="1"/>
  <c r="AJ66" i="1"/>
  <c r="AK66" i="1" s="1"/>
  <c r="AG66" i="1"/>
  <c r="AJ63" i="1"/>
  <c r="AK63" i="1" s="1"/>
  <c r="AG63" i="1"/>
  <c r="AJ58" i="1"/>
  <c r="AK58" i="1" s="1"/>
  <c r="AG58" i="1"/>
  <c r="AJ59" i="1"/>
  <c r="AK59" i="1" s="1"/>
  <c r="AL59" i="1" s="1"/>
  <c r="AG59" i="1"/>
  <c r="AG61" i="1"/>
  <c r="AJ61" i="1"/>
  <c r="AJ10" i="1"/>
  <c r="AK10" i="1" s="1"/>
  <c r="AJ79" i="1"/>
  <c r="AK79" i="1" s="1"/>
  <c r="AG79" i="1"/>
  <c r="AJ71" i="1"/>
  <c r="AK71" i="1" s="1"/>
  <c r="AG71" i="1"/>
  <c r="AJ62" i="1"/>
  <c r="AK62" i="1" s="1"/>
  <c r="AG62" i="1"/>
  <c r="AK61" i="1" l="1"/>
  <c r="AL61" i="1" s="1"/>
  <c r="AK60" i="1"/>
  <c r="AL60" i="1" s="1"/>
  <c r="AI54" i="1"/>
  <c r="AI53" i="1"/>
  <c r="AG52" i="1"/>
  <c r="AJ52" i="1"/>
  <c r="AK52" i="1" s="1"/>
  <c r="AJ15" i="1"/>
  <c r="AJ14" i="1"/>
  <c r="AK14" i="1" s="1"/>
  <c r="AL9" i="1"/>
  <c r="AL62" i="1"/>
  <c r="AL65" i="1"/>
  <c r="AL69" i="1"/>
  <c r="AL73" i="1"/>
  <c r="AL67" i="1"/>
  <c r="AL68" i="1"/>
  <c r="AL71" i="1"/>
  <c r="AL77" i="1"/>
  <c r="AL11" i="1"/>
  <c r="AL74" i="1"/>
  <c r="AL72" i="1"/>
  <c r="AL58" i="1"/>
  <c r="AL66" i="1"/>
  <c r="AL78" i="1"/>
  <c r="AL70" i="1"/>
  <c r="AL10" i="1"/>
  <c r="AL63" i="1"/>
  <c r="AL64" i="1"/>
  <c r="AJ82" i="1"/>
  <c r="AK82" i="1" s="1"/>
  <c r="AL81" i="1" s="1"/>
  <c r="AJ80" i="1"/>
  <c r="AK80" i="1" s="1"/>
  <c r="AL79" i="1" s="1"/>
  <c r="AI14" i="1"/>
  <c r="AG14" i="1"/>
  <c r="AJ53" i="1" l="1"/>
  <c r="AK53" i="1" s="1"/>
  <c r="AG53" i="1"/>
  <c r="AK15" i="1"/>
  <c r="AL13" i="1" s="1"/>
  <c r="AI15" i="1"/>
  <c r="AG15" i="1"/>
  <c r="AG54" i="1" l="1"/>
  <c r="AJ54" i="1"/>
  <c r="AK54" i="1" s="1"/>
  <c r="AL51" i="1" s="1"/>
  <c r="AI17" i="1"/>
  <c r="AJ17" i="1"/>
  <c r="AK17" i="1" s="1"/>
  <c r="AI16" i="1"/>
  <c r="AJ16" i="1"/>
  <c r="AK16" i="1" s="1"/>
  <c r="AI19" i="1" l="1"/>
  <c r="AJ19" i="1"/>
  <c r="AK19" i="1" s="1"/>
  <c r="AI18" i="1"/>
  <c r="AJ18" i="1"/>
  <c r="AI20" i="1" l="1"/>
  <c r="AJ20" i="1"/>
  <c r="AK20" i="1" s="1"/>
  <c r="AK18" i="1"/>
  <c r="AI21" i="1" l="1"/>
  <c r="AJ21" i="1"/>
  <c r="AK21" i="1" s="1"/>
  <c r="AI22" i="1" l="1"/>
  <c r="AJ22" i="1"/>
  <c r="AK22" i="1" s="1"/>
  <c r="AI23" i="1" l="1"/>
  <c r="AJ23" i="1"/>
  <c r="AK23" i="1" s="1"/>
  <c r="AI24" i="1" l="1"/>
  <c r="AJ24" i="1"/>
  <c r="AK24" i="1" s="1"/>
  <c r="AI25" i="1" l="1"/>
  <c r="AJ25" i="1"/>
  <c r="AK25" i="1" s="1"/>
  <c r="AI26" i="1"/>
  <c r="AJ26" i="1"/>
  <c r="AK26" i="1" s="1"/>
  <c r="AL18" i="1" s="1"/>
  <c r="AI28" i="1" l="1"/>
  <c r="AJ28" i="1"/>
  <c r="AK28" i="1" s="1"/>
  <c r="AI27" i="1"/>
  <c r="AJ27" i="1"/>
  <c r="AK27" i="1" l="1"/>
  <c r="AJ29" i="1"/>
  <c r="AK29" i="1" s="1"/>
  <c r="AI29" i="1"/>
  <c r="AI30" i="1" l="1"/>
  <c r="AJ30" i="1"/>
  <c r="AK30" i="1" s="1"/>
  <c r="AL27" i="1" s="1"/>
  <c r="AJ31" i="1" l="1"/>
  <c r="AK31" i="1" s="1"/>
  <c r="AI31" i="1"/>
  <c r="AJ32" i="1" l="1"/>
  <c r="AK32" i="1" s="1"/>
  <c r="AL31" i="1" s="1"/>
  <c r="AI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PORTCALIDAD02 PCA02. PORTCALIDAD02</author>
    <author>CALIDAD03</author>
  </authors>
  <commentList>
    <comment ref="E198" authorId="0" shapeId="0" xr:uid="{DE63E3C7-BB6B-4057-AA0B-98AB23C7DD39}">
      <text>
        <r>
          <rPr>
            <sz val="9"/>
            <color indexed="81"/>
            <rFont val="Tahoma"/>
            <family val="2"/>
          </rPr>
          <t>IDENTIFIQUE LAS ESTRATEGIAS MAS IMPORTANTES  DEL CRUCE DE ESTOS DOS ASPECTOS DEBILIDADES-AMENAZAS</t>
        </r>
      </text>
    </comment>
    <comment ref="F198" authorId="0" shapeId="0" xr:uid="{58CB452A-B7F2-4ECA-8C49-0AD4C49E3067}">
      <text>
        <r>
          <rPr>
            <b/>
            <sz val="9"/>
            <color indexed="81"/>
            <rFont val="Tahoma"/>
            <family val="2"/>
          </rPr>
          <t>IDENTIFIQUE LAS ESTRATEGIAS MAS IMPORTANTES  DEL CRUCE DE ESTOS DOS ASPECTOS DEBILIDAD-OPORTUNIDAD</t>
        </r>
      </text>
    </comment>
    <comment ref="G198" authorId="0" shapeId="0" xr:uid="{2606411F-7CD7-4F75-B1E2-F73EBBE5C94C}">
      <text>
        <r>
          <rPr>
            <b/>
            <sz val="9"/>
            <color indexed="81"/>
            <rFont val="Tahoma"/>
            <family val="2"/>
          </rPr>
          <t>IDENTIFIQUE LAS ESTRATEGIAS MAS IMPORTANTES  DEL CRUCE DE ESTOS DOS ASPECTOS FORTALEZAS-AMENAZAS</t>
        </r>
      </text>
    </comment>
    <comment ref="F214" authorId="1" shapeId="0" xr:uid="{3FACA0C2-82ED-440E-A41F-1F54C21E9C58}">
      <text>
        <r>
          <rPr>
            <b/>
            <sz val="9"/>
            <color indexed="81"/>
            <rFont val="Tahoma"/>
            <family val="2"/>
          </rPr>
          <t>CALIDAD03:</t>
        </r>
        <r>
          <rPr>
            <sz val="9"/>
            <color indexed="81"/>
            <rFont val="Tahoma"/>
            <family val="2"/>
          </rPr>
          <t xml:space="preserve">
TELEMEDICINA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tc={D150BA88-8381-45D9-884B-D531DE06AAC2}</author>
  </authors>
  <commentList>
    <comment ref="G7" authorId="0" shapeId="0" xr:uid="{9C28CC99-0ABC-431C-A606-02833C9C3110}">
      <text>
        <r>
          <rPr>
            <b/>
            <sz val="9"/>
            <color indexed="81"/>
            <rFont val="Tahoma"/>
            <family val="2"/>
          </rPr>
          <t>Lina Maria Patarroyo Parra:</t>
        </r>
        <r>
          <rPr>
            <sz val="9"/>
            <color indexed="81"/>
            <rFont val="Tahoma"/>
            <family val="2"/>
          </rPr>
          <t xml:space="preserve">
¿Qué podría pasar en caso en que el riesgo se presentara?
¿Qué impacto generaría su materialización?</t>
        </r>
      </text>
    </comment>
    <comment ref="H7" authorId="0" shapeId="0" xr:uid="{5B6748F8-220A-41D8-9221-543EA20A16B9}">
      <text>
        <r>
          <rPr>
            <b/>
            <sz val="9"/>
            <color indexed="81"/>
            <rFont val="Tahoma"/>
            <family val="2"/>
          </rPr>
          <t>Lina Maria Patarroyo Parra:</t>
        </r>
        <r>
          <rPr>
            <sz val="9"/>
            <color indexed="81"/>
            <rFont val="Tahoma"/>
            <family val="2"/>
          </rPr>
          <t xml:space="preserve">
Riesgos asistenciales.</t>
        </r>
      </text>
    </comment>
    <comment ref="I7" authorId="0" shapeId="0" xr:uid="{401B2AF7-6F26-422D-A538-050F31810271}">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 ref="M7" authorId="0" shapeId="0" xr:uid="{3273A034-FA23-4547-8F64-D415C941CF89}">
      <text>
        <r>
          <rPr>
            <b/>
            <sz val="9"/>
            <color indexed="81"/>
            <rFont val="Tahoma"/>
            <family val="2"/>
          </rPr>
          <t>Lina Maria Patarroyo Parra:</t>
        </r>
        <r>
          <rPr>
            <sz val="9"/>
            <color indexed="81"/>
            <rFont val="Tahoma"/>
            <family val="2"/>
          </rPr>
          <t xml:space="preserve">
Procesos
Talento humano
Tecnología
Infraestructura
Evento externo
Clientes/Usuarios
Productos/Servicios
Canales de distribución
Jurisdicciones
Contrapartes</t>
        </r>
      </text>
    </comment>
    <comment ref="N11" authorId="1" shapeId="0" xr:uid="{E6B65AC5-94CA-43A8-BCB6-53AC501843EF}">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Por qué?</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tc={D150BA88-8381-45D8-884B-D531DE06AAC2}</author>
    <author>tc={5262BDBF-C1A1-406A-B5E9-F62D26F568B4}</author>
    <author>tc={C7620DBF-9398-47E2-A498-54A254ACDA42}</author>
    <author>tc={50348B6E-A22C-4065-9EED-1BC21035CFF7}</author>
    <author>tc={8A127156-CBBD-4E60-A60F-87B1CC828404}</author>
  </authors>
  <commentList>
    <comment ref="G7" authorId="0" shapeId="0" xr:uid="{665C447F-0A76-4B2E-922A-FE6AA7A5C358}">
      <text>
        <r>
          <rPr>
            <b/>
            <sz val="9"/>
            <color indexed="81"/>
            <rFont val="Tahoma"/>
            <family val="2"/>
          </rPr>
          <t>Lina Maria Patarroyo Parra:</t>
        </r>
        <r>
          <rPr>
            <sz val="9"/>
            <color indexed="81"/>
            <rFont val="Tahoma"/>
            <family val="2"/>
          </rPr>
          <t xml:space="preserve">
¿Qué podría pasar en caso en que el riesgo se presentara?
¿Qué impacto generaría su materialización?</t>
        </r>
      </text>
    </comment>
    <comment ref="H7" authorId="0" shapeId="0" xr:uid="{E03186CB-1CA8-4E0C-AB21-64852DFFF948}">
      <text>
        <r>
          <rPr>
            <b/>
            <sz val="9"/>
            <color indexed="81"/>
            <rFont val="Tahoma"/>
            <family val="2"/>
          </rPr>
          <t>Lina Maria Patarroyo Parra:</t>
        </r>
        <r>
          <rPr>
            <sz val="9"/>
            <color indexed="81"/>
            <rFont val="Tahoma"/>
            <family val="2"/>
          </rPr>
          <t xml:space="preserve">
Riesgos asistenciales.</t>
        </r>
      </text>
    </comment>
    <comment ref="I7" authorId="0" shapeId="0" xr:uid="{7353A342-96E5-4689-98D3-CC7D4BF28094}">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 ref="L7" authorId="0" shapeId="0" xr:uid="{7E0BEF51-4D79-49B5-BEFB-2DD7489853D2}">
      <text>
        <r>
          <rPr>
            <b/>
            <sz val="9"/>
            <color indexed="81"/>
            <rFont val="Tahoma"/>
            <family val="2"/>
          </rPr>
          <t>Lina Maria Patarroyo Parra:</t>
        </r>
        <r>
          <rPr>
            <sz val="9"/>
            <color indexed="81"/>
            <rFont val="Tahoma"/>
            <family val="2"/>
          </rPr>
          <t xml:space="preserve">
Ejecución y administración de procesos
Fraude externo
Fraude interno
Fallas tecnológicas
Relaciones laborales
Usuarios
Daños a activos fijos/ eventos externos
Legal
Financiero
Operativo
Reputacional
Contagio
Seguridad del paciente
Ataques externos
Errores humanos
Eventos naturales</t>
        </r>
      </text>
    </comment>
    <comment ref="M7" authorId="0" shapeId="0" xr:uid="{F7586EFF-4A4D-4E9C-BC30-FD9276786C1D}">
      <text>
        <r>
          <rPr>
            <b/>
            <sz val="9"/>
            <color indexed="81"/>
            <rFont val="Tahoma"/>
            <family val="2"/>
          </rPr>
          <t>Lina Maria Patarroyo Parra:</t>
        </r>
        <r>
          <rPr>
            <sz val="9"/>
            <color indexed="81"/>
            <rFont val="Tahoma"/>
            <family val="2"/>
          </rPr>
          <t xml:space="preserve">
Procesos
Talento humano
Tecnología
Infraestructura
Evento externo
Clientes/Usuarios
Productos/Servicios
Canales de distribución
Jurisdicciones
Contrapartes</t>
        </r>
      </text>
    </comment>
    <comment ref="N16" authorId="1" shapeId="0" xr:uid="{D150BA88-8381-45D8-884B-D531DE06AAC2}">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Por qué?</t>
        </r>
      </text>
    </comment>
    <comment ref="W90" authorId="2" shapeId="0" xr:uid="{5262BDBF-C1A1-406A-B5E9-F62D26F568B4}">
      <text>
        <r>
          <rPr>
            <sz val="11"/>
            <color theme="1"/>
            <rFont val="Aptos Narrow"/>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CONTROL DEBERIA ENFOCARSE EN E RIESGO QUE SON LAS AUTORIZACIONES, PORFESIONAL QUE LE HACE SEGUIMIENTO A A DOCUMENTNACION DE LA EPS CON AYUDA DEL REFENTES DE LA MISMA </t>
        </r>
      </text>
    </comment>
    <comment ref="AE90" authorId="3" shapeId="0" xr:uid="{C7620DBF-9398-47E2-A498-54A254ACDA42}">
      <text>
        <r>
          <rPr>
            <sz val="11"/>
            <color theme="1"/>
            <rFont val="Aptos Narrow"/>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TRAMITES ADMINISTRATIVOS, CONTROL DE INGRESOS CON DOCUMENTACIÓN
</t>
        </r>
      </text>
    </comment>
    <comment ref="D91" authorId="4" shapeId="0" xr:uid="{50348B6E-A22C-4065-9EED-1BC21035CFF7}">
      <text>
        <r>
          <rPr>
            <sz val="11"/>
            <color theme="1"/>
            <rFont val="Aptos Narrow"/>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EVALUAR EL RIESGO EN LABORATORIO CLINICO DE RESULTADOS ERRONEOS, CONFUSION DE MUESTRAS QUE PUEDEN GENERAR IMPACTO EN LA REPUTACION DEL HOSPITAL </t>
        </r>
      </text>
    </comment>
    <comment ref="AE146" authorId="5" shapeId="0" xr:uid="{8A127156-CBBD-4E60-A60F-87B1CC828404}">
      <text>
        <r>
          <rPr>
            <sz val="11"/>
            <color theme="1"/>
            <rFont val="Aptos Narrow"/>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dividir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Lina Maria Patarroyo Parra</author>
  </authors>
  <commentList>
    <comment ref="D3" authorId="0" shapeId="0" xr:uid="{95354C29-D8BD-43A8-B95F-D197BA05511B}">
      <text>
        <r>
          <rPr>
            <b/>
            <sz val="9"/>
            <color indexed="81"/>
            <rFont val="Tahoma"/>
            <family val="2"/>
          </rPr>
          <t>Lina Maria Patarroyo Parra:</t>
        </r>
        <r>
          <rPr>
            <sz val="9"/>
            <color indexed="81"/>
            <rFont val="Tahoma"/>
            <family val="2"/>
          </rPr>
          <t xml:space="preserve">
Riesgos asistenciales.</t>
        </r>
      </text>
    </comment>
    <comment ref="E3" authorId="0" shapeId="0" xr:uid="{A0D6B91E-5F3C-4C15-9F9C-FED763720F00}">
      <text>
        <r>
          <rPr>
            <b/>
            <sz val="9"/>
            <color indexed="81"/>
            <rFont val="Tahoma"/>
            <family val="2"/>
          </rPr>
          <t>Lina Maria Patarroyo Parra:</t>
        </r>
        <r>
          <rPr>
            <sz val="9"/>
            <color indexed="81"/>
            <rFont val="Tahoma"/>
            <family val="2"/>
          </rPr>
          <t xml:space="preserve">
Riesgo de salud
Riesgo operacional
Riesgo actuarial
Riesgo de crédito
Riesgo de liquidez
Riego de mercado
Riesgo de lavado de activos y financiación de terrorismo</t>
        </r>
      </text>
    </comment>
    <comment ref="H3" authorId="0" shapeId="0" xr:uid="{2D879EE0-38F3-4F4F-90C6-EE03A84EB113}">
      <text>
        <r>
          <rPr>
            <b/>
            <sz val="9"/>
            <color indexed="81"/>
            <rFont val="Tahoma"/>
            <family val="2"/>
          </rPr>
          <t>Lina Maria Patarroyo Parra:</t>
        </r>
        <r>
          <rPr>
            <sz val="9"/>
            <color indexed="81"/>
            <rFont val="Tahoma"/>
            <family val="2"/>
          </rPr>
          <t xml:space="preserve">
Ejecución y administración de procesos
Fraude externo
Fraude interno
Fallas tecnológicas
Relaciones laborales
Usuarios
Daños a activos fijos/ eventos externos
Legal
Financiero
Operativo
Reputacional
Contagio
Seguridad del paciente
Ataques externos
Errores humanos
Eventos naturales</t>
        </r>
      </text>
    </comment>
    <comment ref="I3" authorId="0" shapeId="0" xr:uid="{2E7FD710-EB31-4D94-80D9-BC946038B8D1}">
      <text>
        <r>
          <rPr>
            <b/>
            <sz val="9"/>
            <color indexed="81"/>
            <rFont val="Tahoma"/>
            <family val="2"/>
          </rPr>
          <t>Lina Maria Patarroyo Parra:</t>
        </r>
        <r>
          <rPr>
            <sz val="9"/>
            <color indexed="81"/>
            <rFont val="Tahoma"/>
            <family val="2"/>
          </rPr>
          <t xml:space="preserve">
Procesos
Talento humano
Tecnología
Infraestructura
Evento externo
Clientes/Usuarios
Productos/Servicios
Canales de distribución
Jurisdicciones
Contrapartes</t>
        </r>
      </text>
    </comment>
  </commentList>
</comments>
</file>

<file path=xl/sharedStrings.xml><?xml version="1.0" encoding="utf-8"?>
<sst xmlns="http://schemas.openxmlformats.org/spreadsheetml/2006/main" count="4052" uniqueCount="1732">
  <si>
    <t>Codigo: OADS-F-38</t>
  </si>
  <si>
    <t>ESE. HOSPITAL UNIVERSITARIO SAN RAFAEL DE TUNJA</t>
  </si>
  <si>
    <t>Version: 03</t>
  </si>
  <si>
    <t>INSTRUMENTO DE PLANEACION MATRIZ DOFA</t>
  </si>
  <si>
    <t>Fecha: 28/02/2022</t>
  </si>
  <si>
    <t>DOFA</t>
  </si>
  <si>
    <t>PROCESO</t>
  </si>
  <si>
    <t>FACTORES INTERNOS: 
Los aspectos internos tales como el talento humano, procesos y procedimientos, estructura organizacional, cadena de servicio, recursos disponibles, cultura organizacional, sistemas de información, entre otros.</t>
  </si>
  <si>
    <t>FACTORES EXTERNOS 
 Los aspectos externos a la entidad, algunos generales como su entorno político, económico y fiscal,tecnologicos salud publica,competitivos entre otros asi como la percepción que tienen sus grupos de valor frente a la cantidad y calidad de los bienes y servicios ofrecidos, sus resultados e impactos</t>
  </si>
  <si>
    <t>Nº</t>
  </si>
  <si>
    <t>FORTALEZA</t>
  </si>
  <si>
    <t>DEBILIDAD</t>
  </si>
  <si>
    <t>OPORTUNIDAD</t>
  </si>
  <si>
    <t>AMENAZA</t>
  </si>
  <si>
    <t>Gestión Clínica</t>
  </si>
  <si>
    <t>Documentación acorde a resolución 3100 y enfoque acreditación</t>
  </si>
  <si>
    <t>Falta de sensibilidad del talento humamo en salud en la atención integral</t>
  </si>
  <si>
    <t>Ampliación de infraestructura con obras y proyectos nuevos</t>
  </si>
  <si>
    <t>Incertidumbre que esta viviendo el país con relación a la operatividad del sistema general de seguridad social</t>
  </si>
  <si>
    <t>Talento humano requerido para prestar los servicios ofertados y habilitados de acuedo a la capacidad instalada y al nivel de atención</t>
  </si>
  <si>
    <t>Infraestructura insuficiente para todo el talento humano y/o servicios que se prestan, debido al crecimiento institucional</t>
  </si>
  <si>
    <t>Apertura de servicios y especialidades por telemedicina</t>
  </si>
  <si>
    <t>Desconocimiento y falta de cooperación por el poder judicial del país constituyendolo a las administradoras de planes de beneficios y al estado con un cubrimiento mayor al contemplado en el plan obligatorio de salud</t>
  </si>
  <si>
    <t>Apoyo directivo para llevar a cabo una adecuada ejecución de la prestación de servicio</t>
  </si>
  <si>
    <t>Falta de adherencia a guías por parte de los especialitas</t>
  </si>
  <si>
    <t>Cultura de humanidad del Talento humano</t>
  </si>
  <si>
    <t>Aparente insuficiencia de la unidad de pago por capitación de acuerdo a los actuarios de costos y gastos en salud</t>
  </si>
  <si>
    <t>Enfocar nuestra atención contando con programas que permiten medir el riesgo en diferentes etapas de momento de vida que a la vez va paralelo a las actividades de promoción y prevención</t>
  </si>
  <si>
    <t>Modalidad de contratación de médicos especialistas</t>
  </si>
  <si>
    <t>Estudio de mercado para ver posibilidad de contratar por nómina a diferentes especialidades</t>
  </si>
  <si>
    <t>Estrategía creada por el gobierno de los techos presupuestales para los servicios no contemplados en el plan obligatorio de salud así como el giro inoportuno de los recursos para los servicios ya avalados por parte del adress</t>
  </si>
  <si>
    <t>Apertura de subespecialidades ampliando cobertura en algunos tipos de población (geriatría, cuidado paliativo, infectología pediátrica)</t>
  </si>
  <si>
    <t>Traslado de la responsabilidad de la atención al personal en formación, por parte de los especialistas</t>
  </si>
  <si>
    <t>Fortalecer plan de formación articulada con otros porcesos</t>
  </si>
  <si>
    <t>Mal enfoque por parte de las especialidades en la ampliación de las tecnologías</t>
  </si>
  <si>
    <t>Implementacion, desarrollo y ejecución del programa PROA en adulto y pediatría con unos niveles óptimos en resultados de acuerdo al instrumento instalado por el Ministerio y referenciación en clínica Shaio, Mederi, Hospital San Ingnacio y Fundación Santa Fe</t>
  </si>
  <si>
    <t>Ausencia de política insitucional de seguridad y salud en el trabajo en donde permita junto con las empresas temporales de pestación de servicios establecer lineamientos claros de contratación así como se terminaciones de contrato concertadas con el ente de control</t>
  </si>
  <si>
    <t>Establecer medotología eficiente y eficaz para medir la adherencia a guías basada en evidencia adoptadas por la institución</t>
  </si>
  <si>
    <t>No adherencia por parte de los niveles menores de atención por parte de promoción y prevenvion</t>
  </si>
  <si>
    <t>Unidades de cuidado intensivo adulto con tegnología de punta para el manejo de los pacientes como por ejemplo la medición de la  oxigenación cerebral y sedación</t>
  </si>
  <si>
    <t>Estatuto y Manual de contratación desactualizados que generan demoras en los proceso de Contratación con especial enfasis en insumos y medicamentos deteriorando la evolución de nuestros pacientes en el ciclo de atención</t>
  </si>
  <si>
    <t>Reunion periodicas con ente departamental a fin de brindar educación continuada a niveles de baja y mediana complejidad</t>
  </si>
  <si>
    <t>Baja capacidad resolutiva de niveles baja y  mediana complejidad</t>
  </si>
  <si>
    <t>Programas en la unidad de cuidado intensivo neonatal enfocados en mojorar la hipoxia perinatal a través del minuto de vida con el programa de hipotermia</t>
  </si>
  <si>
    <t>No existencia de un mapa de proceso y organigrama actualizados</t>
  </si>
  <si>
    <t>Articualación con EAPB para fortalecer el proceso de referencia y contrareferencia para lograr dar continuidad y seguimiento a los pacientes</t>
  </si>
  <si>
    <t>Seguimiento a costos y productividad en diferentes especialidades de manera que permita tomar decisiones en costos de operación</t>
  </si>
  <si>
    <t>Gestión por auditoría concurrente con el fin de garantizar porcentajes bajos en glosa y pertinencia en la atención</t>
  </si>
  <si>
    <t>Implementación de acuerdos de servicio con el fin de mejorar la prestación de servicios</t>
  </si>
  <si>
    <t xml:space="preserve">Se cuenta con plan de formación </t>
  </si>
  <si>
    <t>Prestación de servicio enfocada a la calidad, oportunidad, pertinencia y accesibilidad y seguridad del paciente</t>
  </si>
  <si>
    <t>Atención Urgencias</t>
  </si>
  <si>
    <t>Se realiza gestión del riesgo al ingreso del servicio de urgencias a través del proceso de identificación de grupos de riesgo mediado por el sistema de digiturno y clasificación de triage antes del proceso administrativo.</t>
  </si>
  <si>
    <t>Estructura del modelo de atención dependiente de personal en formación ocasiona demora y  errores en la prescripción de medicamentos.</t>
  </si>
  <si>
    <t>Transformación digital: nuevas tecnologías inteligencia artificial, inteligencia de negocios, Big data, internet de las cosas para la toma de decisiones en la organización</t>
  </si>
  <si>
    <t>Liquidación de EAPB: Los cierres de EAPB generan cartera a riesgo no se puede recuperar, y convierte a los servicios de urgencias en la puerta de entrada para recibir servicios en salud.</t>
  </si>
  <si>
    <t>Se cuenta  con especialista de medicina de urgencias que permite mayor resolutividad y pertinencia en la atención de pacientes del servicio de urgencias evidenciado por la disminución en la  tasa de reingresos menor a 72 horas que pasó de 0,52 en el año 2022 a 0,31 en el año 2023.</t>
  </si>
  <si>
    <t>Profesionales de enfermería con poca experiencia y competencias  en la atención de pacientes de alta complejidad.</t>
  </si>
  <si>
    <t>Políticas de atención integral en salud orientada a promoción y prevención, generan nuevas oportunidades desde el nivel de complejidad insitucional.</t>
  </si>
  <si>
    <t>Aumento de las patologías de Salud mental:  Los servicios de psiquiatría son los que más tiempo toman para aceptación en el proceso de referencia porque son pocos en el país.</t>
  </si>
  <si>
    <t>Se cuenta con un proceso estructurado de referencia y contrarreferencia.</t>
  </si>
  <si>
    <t>Infraestructura insuficiente para el volumen de pacientes atendidos, no se cuenta con consultorios para respuesta a interconsultas, camas hospitalaris son insuficientes para el volumen de pacientes hospitalizados en urgencias que en promedio para el año 2023 fue de  64 pacientes.</t>
  </si>
  <si>
    <t>Con la población rural y las dificultades con el acceso que ocurren con el cambio climático, se pueden crear nuevos servicios que permitan definir pacientes con mayor oportunidad y disminuir las remisiones.</t>
  </si>
  <si>
    <t xml:space="preserve"> Reforma de salud del gobierno actual, Con los cambios que se proyectan, las IPS requieren reestructurar procesos de negociación, contratación y operación con el fin de conseguir viabilidad en el sector.</t>
  </si>
  <si>
    <t>Se cuenta con especialidades que permiten la resolución del paciente.</t>
  </si>
  <si>
    <t>La adherencia al lavado de manos en urgencias es menor al 50%. Indicador de proceso prioritario en la prevención de infecciones asociadas a la atención en salud (IAAS)</t>
  </si>
  <si>
    <t>En el municipio se cuenta con  IPS privadas que prestan sus servicios a EAPB contributivas principlamente cuentan con servicios de apoyo diagnóstico y terapéutico, consulta externa con especialidades limitadas, lo que genera que los servicios que no tienen sean una oportunidad.</t>
  </si>
  <si>
    <t>Población vulnerable  sin red de apoyo:    Población adulta mayor que vive sola por la migración de jóvenes del campo a la ciudad, familias sin acceso a recursos ecónomicos.</t>
  </si>
  <si>
    <t>Los desarrollos realizados en la historia clínica electrónica permiten la gestión del riesgo clínico, el triage de ginecologia tiene parametrizada la escala de alerta temprana, en procedimeintos de enfermería se puede hacer trazabilidad del los pendientes de enfermería y los tiempos de atención.</t>
  </si>
  <si>
    <t>Baja adherencia a los procesos de seguridad del paciente y seguridad y salud en el trabajo.</t>
  </si>
  <si>
    <t>La historia clinica electronica tiene muchas ventajas, sin embargo no se cuenta con informes que permitan la trazabilidad oportuna de la información.</t>
  </si>
  <si>
    <t>Falta control de gasto en insumos que son de consumo directo del servicio.</t>
  </si>
  <si>
    <t>Gestión Quirúrgica</t>
  </si>
  <si>
    <t>Centro de Referencia Regional: Dada su ubicación estratégica, el hospital es el centro de referencia regional para procedimientos quirúrgicos especializados. Esto genera la posibilidad de atender pacientes de áreas circundantes y lo cual fortalece la imágen y reputación institucional.</t>
  </si>
  <si>
    <t>Fallta de personal capacitado o una distribución inadecuada del personal en las diferentes etapas del proceso quirúrgico,</t>
  </si>
  <si>
    <t>El servicio de salas de cirugía puede establecer programas de mejora continua de la calidad que promuevan la excelencia en la atención quirúrgica y la seguridad del paciente.</t>
  </si>
  <si>
    <t>La competencia con otros proveedores de servicios de salud en la región puede resultar en una baja tasa de retención de pacientes</t>
  </si>
  <si>
    <t xml:space="preserve"> La presencia de instituciones educativas de orden público y privado en la ciudad, permiten que la entidad cuente con un entorno estimulante que puede atraer a especialistas, profesionales, tecnicos y demás talento humano para la prestación de servicio</t>
  </si>
  <si>
    <t>La infraestructura física de las salas de cirugía , áreas de recuperación y central de esterilización es obsoleta o insuficiente para satisfacer las necesidades de los pacientes y el personal</t>
  </si>
  <si>
    <t>Implementar tecnología avanzada con la adquisición de equipos de última generación para procedimientos laparoscópicos, endoscópicos y robóticos</t>
  </si>
  <si>
    <t>Dificultad para reclutar y retener personal médico altamente calificado y especializado, como cirujanos, anestesiólogos y especialistas en cuidados intensivos</t>
  </si>
  <si>
    <t xml:space="preserve"> La entidad es conocida por su enfoque en la salud integral y el bienestar, lo que puede facilitar la colaboración con profesionales de diversas disciplinas, como terapeutas físicos, psicólogos, nutricionistas y especialistas en medicina alternativa</t>
  </si>
  <si>
    <t>Falta de equipamiento médico moderno y tecnología actualizada en las salas de cirugía</t>
  </si>
  <si>
    <t>Implementación de Sistemas de Gestión Hospitalaria Integrada a fin de que mejoren la eficiencia operativa y la calidad del servici</t>
  </si>
  <si>
    <t>Limitaciones presupuestarias, recortes de fondos gubernamentales o cambios en los sistemas de financiamiento de la salud</t>
  </si>
  <si>
    <t>El proceso de Gestión quirúrgica ha realizado estrategias con proveedores y fabricantes de equipos médicos y suministros quirúrgicos. Lo que ha facilitado el acceso a tecnología de vanguardia, capacitación especializada, asistencia técnica y condiciones favorables de adquisición</t>
  </si>
  <si>
    <t>Demoras en la Programación de Cirugías relacionadas con la demanda de servicio vs la capacidad instalada</t>
  </si>
  <si>
    <t>Optimización de los recursos humanos y materiales disponibles</t>
  </si>
  <si>
    <t>Rápida evolución de la tecnología médica y los altos costos asociados con la adquisición y mantenimiento de equipos y tecnologías de última generación</t>
  </si>
  <si>
    <t>El Hospital disfruta de una sólida reputación y la confianza de la comunidad debido a su larga trayectoria en la prestación de servicios médico-quirúrgicos de calidad</t>
  </si>
  <si>
    <t>Deficient comunicación entre los Miembros del Equipo quirúrgico, así como Las barreras de comunicación entre los departamentos involucrados en el proceso quirúrgico</t>
  </si>
  <si>
    <t>Participación en Programas de Investigación y Desarrollo lo que pueden impulsar la innovación en técnicas quirúrgicas, el desarrollo de nuevos dispositivos y tecnologías médicas, y la generación de conocimiento científico</t>
  </si>
  <si>
    <t>Aumento de las tasas de infecciones nosocomiales y la resistencia a los antibiótico</t>
  </si>
  <si>
    <t xml:space="preserve"> La colaboración entre diferentes especialidades médicas y quirúrgicas dentro del hospital promueve un enfoque integral en el tratamiento de los pacientes</t>
  </si>
  <si>
    <t xml:space="preserve">Falta de cumplimiento en la obtención y documentación adecuada del consentimiento informado de los pacientes </t>
  </si>
  <si>
    <t>Imprevistos como desastres naturales, pandemias o emergencias de salud</t>
  </si>
  <si>
    <t>Deficiencias en la documentación y registros médicos, como errores en la documentación de consentimientos informados, historias clínicas incompletas o registros inexactos de procedimientos</t>
  </si>
  <si>
    <t xml:space="preserve">Cambios en la legislación y regulación gubernamental en áreas como el reembolso de servicios de salud, estándares de calidad y seguridad del paciente, y práctica médica </t>
  </si>
  <si>
    <t>Limitaciones en el financiamiento y recursos financieros disponibles</t>
  </si>
  <si>
    <t>Barreras en el Acceso a Recursos y Servicios por parte de las entidades administradoras de planes de beneficio y responsables de pago</t>
  </si>
  <si>
    <t>La resistencia al cambio y la falta de una cultura de innovación en el entorno obstaculizando la adopción de nuevas tecnologías, mejores prácticas</t>
  </si>
  <si>
    <t>Deficiencias en la implementación de estándares de seguridad, higiene y calidad exigidos por las autoridades sanitarias</t>
  </si>
  <si>
    <t>La falta de sistemas integrados de información y tecnología de la información en el proceso quirúrgico</t>
  </si>
  <si>
    <t>Gestión Farmacéutica</t>
  </si>
  <si>
    <t>Talento humano idoneo</t>
  </si>
  <si>
    <t xml:space="preserve">No se cuenta con certificacion en BPE </t>
  </si>
  <si>
    <t xml:space="preserve">Certificacion en curso para la obtencion de buenas practicas de elaboracion de la central de adecuacion y preparacion de medicamentos </t>
  </si>
  <si>
    <t>No se cuenta con sistema que se pueda articular con el software servinte para manejar el codigo de barras para controlar de mejor manera el inventario</t>
  </si>
  <si>
    <t xml:space="preserve">Compromiso y trabajo en equipo. </t>
  </si>
  <si>
    <t>Actualmente no se realiza conciliacion medicamentosa ni seguimiento farmacoterapeutico</t>
  </si>
  <si>
    <t>Posibilidad de introducción de tecnología de alto nivel</t>
  </si>
  <si>
    <t>El espacio es insuficiente en todas las areas tanto de almacenamiento como administrativas</t>
  </si>
  <si>
    <t>Proceso, programas y procedimientos están debidamente documentados, actualizados y soportados</t>
  </si>
  <si>
    <t>Actualmente no se cuenta con programa de farmacocinetica clinica</t>
  </si>
  <si>
    <t xml:space="preserve">Posibilidad de expansion y crecimiento </t>
  </si>
  <si>
    <t>No se cuenta con un modulo en el sistema para el control de inventarios donde se generen alarmas para realizar los pedidos de acuerdo a los consumos maximos y minimos</t>
  </si>
  <si>
    <t>Diversidad de productos para expandir los servicios prestados</t>
  </si>
  <si>
    <t xml:space="preserve">El modulo de mezclas se debe ajustar a actualizacion de la normatividad </t>
  </si>
  <si>
    <t>Se cuenta con programa de capacitaciones dando cumplimiento a la norma</t>
  </si>
  <si>
    <t>Desabastecimientos nacionales de medicamentos y dispositivos medicos por parte de los laboratorios fabricantes</t>
  </si>
  <si>
    <t>Se cuenta con BPM</t>
  </si>
  <si>
    <t>Tiempos prolongados en los tramites contractuales</t>
  </si>
  <si>
    <t>Los productos que brinda son de muy buena calidad y seguros</t>
  </si>
  <si>
    <t>Rentabilidad del servicio</t>
  </si>
  <si>
    <t>Apoyo Servcios de salud</t>
  </si>
  <si>
    <t>Se cuenta con una caracterizaciòn completa del proceso de atenciòn ambulatoria</t>
  </si>
  <si>
    <t>Alta rotaciòn de personal asistencial y administrativo de los procesos</t>
  </si>
  <si>
    <t xml:space="preserve">Inversiòn departamental y/o nacional en infraestuctura hospitalaria para la prestaciòn de servicios ambulatorios </t>
  </si>
  <si>
    <t xml:space="preserve">Inasistencia a citas mèdicas  </t>
  </si>
  <si>
    <t>Se cuenta con infraestructura adecuada propia y en arrendamiento para la atenciòn de ususarios de servicios ambulatorios</t>
  </si>
  <si>
    <t>Falta de compromiso del personal con las actividades encomendadas en la instituciòn</t>
  </si>
  <si>
    <t>Adquisiciòn de nuevas tecnologìas para mejorar la prestaciòn de servicios</t>
  </si>
  <si>
    <t>Cierres e intervenciones a EPS con las que se tiene relaciòn contractual</t>
  </si>
  <si>
    <t>Identificaciòn de riesgos del proceso, de corrupciòn, los cuales se encuentran documentados y con seguimiento y control</t>
  </si>
  <si>
    <t>Infraestructura desagregada para la prestaciòn de servicios ambulatorios (diferentes sedes)</t>
  </si>
  <si>
    <t>Modelo de salud preventivo, predictivo y resolutivo con acciones especìficas para el fortalecimiento de atenciòn ambulatoria</t>
  </si>
  <si>
    <t>Falta de articulaciòn con entes externos para el seguimiento de rutas de atenciòn</t>
  </si>
  <si>
    <t>Proceso de asignaciòn de citas con diferentes canales para el facil acceso de los usuarios a los servicios</t>
  </si>
  <si>
    <t>Modelo de prestaciòn de servicios sin actualizaciòn y socializaciòn</t>
  </si>
  <si>
    <t>Desarrollar el proceso de acreditaciòn institucional</t>
  </si>
  <si>
    <t>Desconocimiento por parte de las EAPB del Modelo de prestaciòn de srvicios y de la oferta institucional</t>
  </si>
  <si>
    <t>Proceso documentado por resoluciòn interna para la recepciòn de PQRS que facilita la trazabilidad de las mismas para el cumplimiento de tiempos de respuesta</t>
  </si>
  <si>
    <t>Falta de oferta de recurso humano especializado en algunas especialidades</t>
  </si>
  <si>
    <t>Recurso humano de atenciòn al ususario en todos los servicios de la instituciòn, los cuales conocen los procesos de atenciòn y realizan el direccionamiento de los mismos</t>
  </si>
  <si>
    <t>Se cuenta con màs de 40 especialidades entre clìnicas y quirùrgicas al servicio de la poblaciòn</t>
  </si>
  <si>
    <t>se cuenta con diferentes mecanismos para que los usuarios presenten sus reclamaciones</t>
  </si>
  <si>
    <t>Equipo humano dedicado a conocer las necesidades sociales de la poblaciòn y realizar el reporte a entes externos cuando se requiera</t>
  </si>
  <si>
    <t>Se cuenta con los equipos biomèdicos necesarios para la prestaciòn de servicios</t>
  </si>
  <si>
    <t>Gestión Financiera</t>
  </si>
  <si>
    <t>Documentación institucional fortalecida definiendo roles y responsabilidades lo que marca los parametros de operación</t>
  </si>
  <si>
    <t>Alta Rotación</t>
  </si>
  <si>
    <t>Sistematización de actividades que aún se realizaon manualmente</t>
  </si>
  <si>
    <t>Variabilidad en costos</t>
  </si>
  <si>
    <t>Puntos de control derividadas de la segregación de actividades</t>
  </si>
  <si>
    <t xml:space="preserve">Subutilización del sistema de información </t>
  </si>
  <si>
    <t>Integración de sistemas de información</t>
  </si>
  <si>
    <t>Incertifumbre financiera del sistema general de seguridad social</t>
  </si>
  <si>
    <t>Conciliación de cifras que se realiza con las áreas productoras de información para generar estados financieros razonables</t>
  </si>
  <si>
    <t>Altos costos de operación haciendonos menos competitivos</t>
  </si>
  <si>
    <t>Apertura de nuevos servicios</t>
  </si>
  <si>
    <t>Reforma a la salud</t>
  </si>
  <si>
    <t xml:space="preserve">Talento humano </t>
  </si>
  <si>
    <t>Manual de procesos y procedimientos</t>
  </si>
  <si>
    <t>Fortalecer y profundizar todas las estrategias de SICOF (contratación)</t>
  </si>
  <si>
    <t>Bastante normatividad 
Regulación de precios de medicamentos</t>
  </si>
  <si>
    <t>Proyectos de obras adelantadas para el fortalecimiento en la infraestructura</t>
  </si>
  <si>
    <t>Manual de funciones y responsbilidades de contratistas</t>
  </si>
  <si>
    <t xml:space="preserve">Formalización laboral </t>
  </si>
  <si>
    <t>Aumento desmedido de la demanda de servicios de salud</t>
  </si>
  <si>
    <t>inoportunidad en la respuesta a procesos judiciales, sanciones, situaciones administrativas que incidan en los estados financieros</t>
  </si>
  <si>
    <t>Demoras en pagos por parte de las EAPB por prevalecer a su red de prestadores</t>
  </si>
  <si>
    <t>Desmotivación del personal</t>
  </si>
  <si>
    <t>Falta de gestión de recursos por parte del coordinador del proceso</t>
  </si>
  <si>
    <t>Gestión Jurídica</t>
  </si>
  <si>
    <t>Talento humano</t>
  </si>
  <si>
    <t>Falta de concientización, inoportunidad y falta de calidad en la información que se recibe de otras dependencias cuando lo requieren los abogados para poder dar respuesta a los diferentes despachos, como una de las funciones de la oficina jurídica, además, ausencia de medidas correctivas internas ante dichos incumplimientos</t>
  </si>
  <si>
    <t>Portales con las normas jurídicas (jurisprudencia y legislación) que facilitan la consulta y el trabajo de los abogados (Boletines jurisprudenciales, SAMAI, Colombia compra eficiente, andje)</t>
  </si>
  <si>
    <t>Demora en la administración de justicia a nivel nacional, que implica costos administrativos y económicos directos para la institución</t>
  </si>
  <si>
    <t>Capacidad de respuesta oportuna ante trámites judiciales</t>
  </si>
  <si>
    <t xml:space="preserve">Demora en la entrega de lineamientos de gestión documental y acompañamiento a la dirección jurídica para la organización de los archivos y carpetas generadas en cada uno de los grupos funcionales. </t>
  </si>
  <si>
    <t xml:space="preserve">Cambio de normatividad a nivel nacional, unificación jurisprudencial, actualización legislativa, que procura subsanar inconsistencias jurídicas </t>
  </si>
  <si>
    <t>Fallas en las plataformas institucionales de carácter nacional ocasionan demoras en procesos institucionales</t>
  </si>
  <si>
    <t>Trabajo en equipo coordinado con la alta gerencia</t>
  </si>
  <si>
    <t xml:space="preserve"> Insuficiencia o inoportunidad en la entrega de informes y/o elementos materiales probatorios que se deban presentar en la actuaciones procesales por parte de las dependencias ejecutoras</t>
  </si>
  <si>
    <t>Capacitaciones y diplomados de la agencia nacional de defensa jurídica</t>
  </si>
  <si>
    <t>Cambios es normas o políticas nacionales</t>
  </si>
  <si>
    <t>Actualización documental permanente</t>
  </si>
  <si>
    <t>no hay un programa de capacitación para 
actualización en oralidad, normatividad y en temas transversales, dirigidas a los abogados que permitan el mejoramiento del desempeño institucional</t>
  </si>
  <si>
    <t>Desconocimiento de protocolos institucionales por parte de veedores que se extralimitan en sus funciones</t>
  </si>
  <si>
    <t>Se cuenta con un Comité de Conciliación reglamentado, conformado por funcionarios de nivel directivo, sesiona como mínimo dos (2) veces al mes o cada vez que se requiere</t>
  </si>
  <si>
    <t>No se cuenta con un espacio adecuado para el desarrollo de audiencias</t>
  </si>
  <si>
    <t>Se cuenta con una Política de Prevención del Daño
Antijurídico</t>
  </si>
  <si>
    <t>Desarticulación de áreas administrativas por la ubicación de la oficina, espacio laboral se ve afectado por ubicación en sótano</t>
  </si>
  <si>
    <t>Falta de capacitación y criterio del personal a cargo de correspondencia y atención al usuario</t>
  </si>
  <si>
    <t>Falta de asistencia a audiencias, no contestación de demandas, no apelación sentencias</t>
  </si>
  <si>
    <t>Fallas en plataforma de SIAU ha generado incremento de tutelas por no respuesta (trazabilidad), debido a que quejas no llegan al área de jurídica</t>
  </si>
  <si>
    <t>Ausencia de protocolo de atención a pacientes N.N</t>
  </si>
  <si>
    <t>Desarticulación con medicina legal para la resolución conjunta de casos que lo requieren</t>
  </si>
  <si>
    <t xml:space="preserve">No adherencia a guía y protocolos institucionales por personal asistencial genera incremento de demandas </t>
  </si>
  <si>
    <t>Gestión Mantenimeinto</t>
  </si>
  <si>
    <t xml:space="preserve">Equipo de trabajo, tecnicos y auxiliares las 24 horas del dia. </t>
  </si>
  <si>
    <t>Falta capacitaciones en manejo y mantenimiento de  equipos industrailes hospitalarios</t>
  </si>
  <si>
    <t xml:space="preserve">Recursos por parte del ministerio de salud para mejora de la infraestructura </t>
  </si>
  <si>
    <t>Pandemia</t>
  </si>
  <si>
    <t>Procedimientos, manuales y formatos para realizar labores.</t>
  </si>
  <si>
    <t>La informacion se maneja en fisico migrar a un sotfware</t>
  </si>
  <si>
    <t>Cambios en la normatividad hospitalira</t>
  </si>
  <si>
    <t xml:space="preserve">Modernizacion de los equipos industrailes hospitalarios </t>
  </si>
  <si>
    <t>Falta modernizar algunos equipos industriales hospitalarios e infraestructura</t>
  </si>
  <si>
    <t>Actualizacion de equipos</t>
  </si>
  <si>
    <t>Paro de los trabajadores  de salud</t>
  </si>
  <si>
    <t xml:space="preserve">Se cuenta con almacen propio donde se tienen los elmentos necesarios para atender los servicios de mantenimiento preventivo y correctivo </t>
  </si>
  <si>
    <t>En caso de daño por parte del personal, paciente y visitantes no se realiza el arreglo o resarcimiento del daño</t>
  </si>
  <si>
    <t>Se cuenta con normatividad o legislacion  para el desarrollo del mantenimiento hospitalario</t>
  </si>
  <si>
    <t>Climatico</t>
  </si>
  <si>
    <t xml:space="preserve">Apoyo de la alta dirreccion </t>
  </si>
  <si>
    <t xml:space="preserve">Demora en los tiempos de contracion </t>
  </si>
  <si>
    <t>Apoyo  para las actividades de mantenimeinto de provedores y contratistas especializados en el tema</t>
  </si>
  <si>
    <t>Obra duvan</t>
  </si>
  <si>
    <t>Limitacion  para acceder actividades de mantenimiento en areas asitenciales por sobre ocupacion</t>
  </si>
  <si>
    <t>Gestión Talento Humano</t>
  </si>
  <si>
    <t>Procedimientos establecidos para el reclutamiento, selección, verificación de requisitos de hoja de vida y vinculación del personal que labora en la institución, han permitido que se cuente con Talento humano comprometido y capaz para llevar a cabo la prestación de los servicios</t>
  </si>
  <si>
    <t>Falta de sistema de información estandarizado para el área de TH, que permita la caracterización del personal, la evaluación del desempeño y optimización de procesos como verificación de hojas de vida</t>
  </si>
  <si>
    <t>Automatización en procesos de verificación de hojas de vida</t>
  </si>
  <si>
    <t>Cambios en la normatividad laboral y de pensiones</t>
  </si>
  <si>
    <t>Se cuenta con procedimientos documentados en relación con la inducción, re-inducción, capacitación y formación continua del TH</t>
  </si>
  <si>
    <t>Diferentes modelos de contratación de personal que limitan la adherencia a programa de Gestión de TH y a otros lineamientos institucionales</t>
  </si>
  <si>
    <t>Desarrollo tecnológico, aplicaciones o plataformas en línea para los procesos de inducción, capacitación, formación continua y evaluación del desempeño del talento humano</t>
  </si>
  <si>
    <t>Poca formación de médicos especialistas a nivel nacional</t>
  </si>
  <si>
    <t>Se cuenta con un código de integridad y comités para talento humano (COPASST, Comisión personal, Convivencia laboral, Bienestar y Capacitación)</t>
  </si>
  <si>
    <t>Procesos de inducción acelerados, procesos de formación continua sin el seguimiento adecuado, cursos vigentes poco amigables. Además, no se han establecidos tiempos específicos para que el personal se capacite sin afectar su horario laboral, ni descanso</t>
  </si>
  <si>
    <t>Alianzas estratégicas con empresas o instituciones para los procesos de gestión del conocimiento</t>
  </si>
  <si>
    <t>Respuesta inoportuna de entidades para la verificación de referencias laborales y títulos académicos</t>
  </si>
  <si>
    <t>Se realiza el cobro oportuno de cuotas partes a las entidades concurrentes</t>
  </si>
  <si>
    <t>Capacidad de gestión del talento humano limitada por falta de recursos financieros o de personal</t>
  </si>
  <si>
    <t>Articulación intersectorial para intercambio de conocimientos y aplicabilidad de políticas</t>
  </si>
  <si>
    <t>Ofertas fraudulentas o de baja calidad en cursos de capacitación</t>
  </si>
  <si>
    <t>Programa de gestión estratégica del TH actualizado</t>
  </si>
  <si>
    <t>Desconocimiento de proceso de selección del TH por parte de líderes, además de falta de claridad en funciones de cada empleado</t>
  </si>
  <si>
    <t>Mejoramiento de la gestion por competencias a través de certificación en normas de salud con el SENA</t>
  </si>
  <si>
    <t>Cambios en la normatividad de habilitación respecto de los procesos de formación del personal de salud</t>
  </si>
  <si>
    <t>Desarrollo de programas anuales  de capacitación, bienestar, inducción y re-inducción orientados al mejoramiento de competencias y calidad de vida de los colaboradores PEGITH</t>
  </si>
  <si>
    <t>Falta de adherencia a protocolos, procesos y procedimientos por parte del personal no médico, asociado a la falta de interés por participar en capacitaciones</t>
  </si>
  <si>
    <t>PAMEC y Acreditación institucional</t>
  </si>
  <si>
    <t>Incumplimiento en requisitos y funciones por parte de los colaboradores</t>
  </si>
  <si>
    <t>Se cuenta con certificacion de competencias con el SENA en normas de Atención al usuario y humanización de servicios de salud</t>
  </si>
  <si>
    <t xml:space="preserve"> Demora en el traslado de información solicitada a CETIL por no digitalización previa de la misma</t>
  </si>
  <si>
    <t>Actualización de la normativa y políticas relacionadas con la habilitación en salud, lo que puede mejorar y clarificar la prestacion del servicio</t>
  </si>
  <si>
    <t>Sanciones y cierre de servicios por no cumplimiento en los requisitos de formación del TH</t>
  </si>
  <si>
    <t>Herramientas para el manejo de cuadros de turno que permitan al lider o coordinador programar y tener claridad frente a los recargos del personal, asi como de las novedades de retiro, calamidad, suspensión, licencia de paternidad, licencia de maternidad, entre otras. Informe de auditorías realizado al mismo por parte de la temporal.</t>
  </si>
  <si>
    <t>Falta de cultura organizacional, falta de trabajo en equipo, baja identidad y compromiso institucional</t>
  </si>
  <si>
    <t>Actualización de política institucional de humanización</t>
  </si>
  <si>
    <t>Riesgo psicosocial, desmotivación, afectación del clima laboral y dificultades en las relaciones interpersonales</t>
  </si>
  <si>
    <t>Auditorías por parte de la temporal y de la ESE a proceso de nóminas</t>
  </si>
  <si>
    <t>Espacios institucionales para sesiones educativas son limitados</t>
  </si>
  <si>
    <t>Medición de clima laboral  e identificacion de factores de riesgo psicosociales cada dos años o cuando sea necesario</t>
  </si>
  <si>
    <t>Poca  empatía, sensibilidad y humanización en el proceso de atención del paciente y su familia por parte de personal asistencial y administrativo</t>
  </si>
  <si>
    <t>Incumplimiento de  la  totalidad de  las necesidades  propias  del  proceso de nómina, generando errores  en la  liquidaciòn,  reprocesos  y  disposición de tiempo adicional.</t>
  </si>
  <si>
    <t>Desconocimiento por parte del coordinador/lider de novedades que generen retrasos en la entrega de cuadros de turno asi como de la asignacion de personal en el servicio.</t>
  </si>
  <si>
    <t>Gestión Administrativa</t>
  </si>
  <si>
    <t>Trazabilidad de las facturas glosadas y devueltas</t>
  </si>
  <si>
    <t>Sistemas de información desintegrados</t>
  </si>
  <si>
    <t>Mejorar la comunicación efectiva con las ERP</t>
  </si>
  <si>
    <t>EAPB en intervención o liquidadas, EAPB fuera de la región con la cual no se cuenta con contratos</t>
  </si>
  <si>
    <t>Semaforización del proceso</t>
  </si>
  <si>
    <t>Manejo manual de la semaforización</t>
  </si>
  <si>
    <t>Realizar el proceso de respuesta a glosa en servinte</t>
  </si>
  <si>
    <t>Cumplimiento de los procedimientos</t>
  </si>
  <si>
    <t>Mayor volumen de trabajo</t>
  </si>
  <si>
    <t xml:space="preserve">Procedimientos actualizados </t>
  </si>
  <si>
    <t>Talento humano con experiencia y conocimiento en la normatividad vigente</t>
  </si>
  <si>
    <t>Cambio constante en la normatividad de trámite de glosa, devoluciones y soportes de facturas</t>
  </si>
  <si>
    <t>Espacio físico disponible</t>
  </si>
  <si>
    <t>Algunos equipos de cómputo son deficientes e inadecuados para el uso constante que se necesita</t>
  </si>
  <si>
    <t>Mejorar la red de internet y adquirir más equipos de cómputo con mayor velocidad para el proceso de respuesta y cargues en plataformas</t>
  </si>
  <si>
    <t>EAPB que con plataformas deficientes y de difícil acceso</t>
  </si>
  <si>
    <t>Cultura organizacional</t>
  </si>
  <si>
    <t>Relaciones favorables del equipo de auditores de cuentas con sus pares externos</t>
  </si>
  <si>
    <t>Falta de relación contractual con algunas entidades</t>
  </si>
  <si>
    <t>Fortalecer los acuerdos voluntades</t>
  </si>
  <si>
    <t>EAPB fuera de la región con la cual no se cuenta con contratos</t>
  </si>
  <si>
    <t>Trámites oportunos en la respuesta a la glosa dentro de la normatividad vigente</t>
  </si>
  <si>
    <t>Manejo manual de la respuesta a glosa</t>
  </si>
  <si>
    <t>Realizar el proceso de respuesta a glosa en Servinte</t>
  </si>
  <si>
    <t>Diferentes tipos de notificaciones de glosa que no permiten realizar un procedimiento unificado de respuesta sistematizada.</t>
  </si>
  <si>
    <t>Historia clínica sistematizada</t>
  </si>
  <si>
    <t>Aún existen documentos soporte de historia clínica escaneados</t>
  </si>
  <si>
    <t>Cero documentos escaneados en historia clínica sistematizada</t>
  </si>
  <si>
    <t>Digitalización de las facturas radicadas</t>
  </si>
  <si>
    <t>No se cuenta con software de armado de cuentas</t>
  </si>
  <si>
    <t>Contar con un sistema de información que se adapte a las necesidades de la institución</t>
  </si>
  <si>
    <t>EAPB que con plataformas deficientes y de difícil acceso para cargue de soportes</t>
  </si>
  <si>
    <t>Cumplimiento de los procesos y procedimientos.</t>
  </si>
  <si>
    <t>Volumen de trabajo.</t>
  </si>
  <si>
    <t>Crear convenios y alianzas comerciales con las EAPB.</t>
  </si>
  <si>
    <t>Uso de múltiples plataformas de entidades responsables de pago.</t>
  </si>
  <si>
    <t>Cumplimiento por parte del personal del área de cartera para la correcta atención de cada uno de los requerimientos realizadas por diferentes áreas internas o externas</t>
  </si>
  <si>
    <t>Clima laboral desfavorable en las diferentes áreas.</t>
  </si>
  <si>
    <t>Impulsar cobros a pagares.</t>
  </si>
  <si>
    <t>Cultura de no pago de la población y evasión de los deberes como usuarios del sistema de seguridad social.</t>
  </si>
  <si>
    <t>Fluidez económica (recaudo de cartera)</t>
  </si>
  <si>
    <t>Carencia de conocimientos entre los compañeros en diferentes contextos</t>
  </si>
  <si>
    <t>Realización de mesas de trabajo a fin de lograr acuerdos de pagos con cada una de las EAPB.</t>
  </si>
  <si>
    <t>Falta legalización de pagos por parte de las EAPB.</t>
  </si>
  <si>
    <t>Personal autodidáctico capaz de adaptarse a diversas tareas asignadas</t>
  </si>
  <si>
    <t>No se ejecuta un plan de bienestar para los colaboradores.</t>
  </si>
  <si>
    <t>Aplicación de los procesos y procedimientos de manera adecuada.</t>
  </si>
  <si>
    <t>Incobrabilidad de cartera por incumplimiento de las normas por parte de las entidades responsables de pago y procesos liquidatarios que finalmente no llegan a girar sumas importantes de las acreencias y en algunos casos se declaran en desequilibrio financiero.</t>
  </si>
  <si>
    <t>Trabajo en equipo</t>
  </si>
  <si>
    <t>Falta se sistematización entre procesos</t>
  </si>
  <si>
    <t>Manejo adecuado del sistema por parte de cartera. Mantener la información en línea completa y al día para que los reportes que se puedan sacar directamente del sistema.</t>
  </si>
  <si>
    <t>Incertidumbre por el nuevo modelo de salud que se tramita desde el congreso de Colombia, en cuanto al tema de flujo de recursos.</t>
  </si>
  <si>
    <t>Subutilización del sistema de información para el manejo adecuado de la cartera (estados de las facturas), sistema de información (servinte) no cumple con los criterios definidos para sacar el estado de cartera acorde a nuestra necesidad para información de entes externos.</t>
  </si>
  <si>
    <t>Buenas relaciones que existen con cada uno de los representantes de cada una de las EAPB.</t>
  </si>
  <si>
    <t>Gestión Servicios de Apoyo</t>
  </si>
  <si>
    <t>Documentación definida en algunos proceso que marcan la pauta para operar</t>
  </si>
  <si>
    <t>No se tiene documentado la totalidad de procedimientos</t>
  </si>
  <si>
    <t>Adquisición de solución tecnológica que facilite realizar la solicitud de dietas diarias</t>
  </si>
  <si>
    <t xml:space="preserve">Requisitos de entidades de control </t>
  </si>
  <si>
    <t>Instrumentos de medición y de control</t>
  </si>
  <si>
    <t>Desarticulación entre procesos que impide que vincule al pesonal de tercerizados en actividades institucionales</t>
  </si>
  <si>
    <t>Articulación entre el Hospital y empresas tercerizadas con el fin de desplegar e involucar al personal en las actividades institucionales</t>
  </si>
  <si>
    <t>Incumplimiento de obligaciones contractuales de las empresas tercercizadas</t>
  </si>
  <si>
    <t xml:space="preserve">Equipo de trabajo institucional que realiza verificación y seguimiento para garantizar el cumplimiento de obligaciones contratctuales </t>
  </si>
  <si>
    <t xml:space="preserve">Falta de socialización oportuna al proceso en cuanto a cambios institucionales </t>
  </si>
  <si>
    <t>Incremento en valores de tarifas nacionales  y/u otros cambios económicos a nivel nacional</t>
  </si>
  <si>
    <t xml:space="preserve">Solicitud manual de dietas hospitalarias </t>
  </si>
  <si>
    <t>No se realiza socialización de políticas institucionales al personal de empresas tercerizadas  generando desconocimiento a procesos y procedimientos institucionales</t>
  </si>
  <si>
    <t>Canales de comunicación poco efectivos</t>
  </si>
  <si>
    <t>Gestión Sistemas de Información y Comunicaciones</t>
  </si>
  <si>
    <t>Existencia de un sistema de información integral que abarca todos los aspectos relevantes, desde la gestión administrativa hasta los procesos clínicos, permitiendo una visión completa y unificada de la información</t>
  </si>
  <si>
    <t>Persistencia de sistemas y plataformas desactualizadas que pueden afectar la eficiencia operativa y la capacidad de integración con tecnologías más recientes.</t>
  </si>
  <si>
    <t>Aprovechar la tendencia hacia la interoperabilidad y colaboración entre instituciones de salud para mejorar la coordinación de la atención médica a nivel regional</t>
  </si>
  <si>
    <t>Incremento de ciberataques y amenazas digitales que pueden comprometer la seguridad de los datos del hospital y poner en riesgo la integridad de la información médica.</t>
  </si>
  <si>
    <t>Historial de actualizaciones y mejoras exitosas en la infraestructura tecnológica y los sistemas de información, indicando una capacidad institucional para adaptarse a las demandas cambiantes de la atención médica.</t>
  </si>
  <si>
    <t>Interfaces de usuario complejas o poco intuitivas en algunos sistemas, lo que podría generar resistencia por parte del personal y afectar la eficiencia en el manejo de la información.</t>
  </si>
  <si>
    <t>Explorar oportunidades en el desarrollo de tecnologías emergentes, como la inteligencia artificial y el análisis de big data, para mejorar la toma de decisiones clínicas y optimizar la gestión hospitalaria.</t>
  </si>
  <si>
    <t>Modificaciones frecuentes en la normativa de salud y las regulaciones de protección de datos que generan desafíos en la adaptación de los sistemas de información para garantizar el cumplimiento continuo.</t>
  </si>
  <si>
    <t>Compromiso institucional con altos estándares de calidad en la atención médica respaldado por sistemas de información que garantizan la precisión, la consistencia y la confiabilidad de los datos clínicos</t>
  </si>
  <si>
    <t>Desafíos en la interoperabilidad entre algunos sistemas internos, lo que podría generar dificultades en la transferencia fluida de datos entre diferentes áreas y departamentos del hospital</t>
  </si>
  <si>
    <t>Establecer asociaciones estratégicas con la industria de dispositivos médicos para implementar tecnologías innovadoras y mejorar la eficiencia en la prestación de servicios de salud.</t>
  </si>
  <si>
    <t>Amenazas ambientales como desastres naturales, incendios o cortes de energía que podrían afectar la infraestructura tecnológica y la disponibilidad de los sistemas.</t>
  </si>
  <si>
    <t>Ausencia de un plan de continuidad del negocio sólido para hacer frente a posibles interrupciones, lo que podría afectar la disponibilidad de los servicios de tecnología de información en situaciones de emergencia.</t>
  </si>
  <si>
    <t xml:space="preserve"> Invertir en soluciones de ciberseguridad avanzadas para proteger la integridad y confidencialidad de la información del paciente, cumpliendo con las crecientes regulaciones en materia de privacidad.</t>
  </si>
  <si>
    <t>La rapidez del avance tecnológico puede hacer que las inversiones actuales en sistemas de información se vuelvan obsoletas rápidamente, generando la necesidad de actualizaciones constantes.</t>
  </si>
  <si>
    <t>Carencia de una estrategia integral de copias de seguridad que garantice la recuperación efectiva de datos en caso de pérdida o corrupción, aumentando el riesgo de pérdida de información crítica.</t>
  </si>
  <si>
    <t>Resistencia al Cambio: Resistencia al cambio por parte de algunos miembros del personal frente a la adopción de nuevas tecnologías, lo que podría ralentizar la implementación de mejoras y nuevas soluciones.</t>
  </si>
  <si>
    <t>Excelente relación con los medios de comunicación externos</t>
  </si>
  <si>
    <t>Inexistencia de plan de comunicaciones</t>
  </si>
  <si>
    <t>Realizar planificación mes a mes de las actividades</t>
  </si>
  <si>
    <t>No se cuenta con una base de datos de personal por procesos para la divulgación de la información</t>
  </si>
  <si>
    <t>Desarrollo de estrategias innovadoras</t>
  </si>
  <si>
    <t>No se realiza socialización de los procedimientos de comunicaciones</t>
  </si>
  <si>
    <t xml:space="preserve">Buscar alianzas estretégicas con medios de comunicación para el apoyo y mejoramiento de imagen institucional </t>
  </si>
  <si>
    <t>No se cuenta con la disponibilidad de personas o servicios para a elaboración de piezas comunicativas</t>
  </si>
  <si>
    <t>Se cuenta con diferentes canales de comunicación internos y externos</t>
  </si>
  <si>
    <t>Uso incorrecto de la información</t>
  </si>
  <si>
    <t>Fortalecer lo canales de comunicación</t>
  </si>
  <si>
    <t>Falta de presupuesto para el correcto despliegue de las estrategias de comunicación</t>
  </si>
  <si>
    <t>Se cuenta con buen posicionamiento de imagen y marca</t>
  </si>
  <si>
    <t>informalidad en la divulgación y uso de la información</t>
  </si>
  <si>
    <t>Potenciar imagen y marca de la institución</t>
  </si>
  <si>
    <t>Desinformación y rumores malintencionados</t>
  </si>
  <si>
    <t>Respuesta adecuada y oportuna a las solicitudes</t>
  </si>
  <si>
    <t>Falta de equipos, y programas necesarios o actualizados con licencia</t>
  </si>
  <si>
    <t>Uso de imagen no autorizada para divulgación de información</t>
  </si>
  <si>
    <t>Se cuenta con un equipo interdsciplinario</t>
  </si>
  <si>
    <t>No lograr el cubrimiento deseado con las estrategias implementadas</t>
  </si>
  <si>
    <t>Hallazgos por incumplimiento en lineamientos nacionales, asociados a Gobierno Digital</t>
  </si>
  <si>
    <t>Interés de la institución por manejar la comunciación como Pilar transversal de Direccionamiento Estratégico</t>
  </si>
  <si>
    <t>Gestión de Investigación e Innovación</t>
  </si>
  <si>
    <t>Organización de la estructura interna del proceso y enfoque con objetivos claros del mismo</t>
  </si>
  <si>
    <t>Falta de adherencia a la normativa vigente por parte de los especialistas para los procesos de formación dentro de la institución</t>
  </si>
  <si>
    <t>Voluntad institucional por parte de universidades para fortalecer procesos de docencia servicio en el hospital</t>
  </si>
  <si>
    <t>Formación académica y en investigación deficiente en personal en formación que llega a su práctica formativa</t>
  </si>
  <si>
    <t>Se cuenta con gran potencial (fuentes primarias y secundarias) para el desarrollo de proyectos de investigación</t>
  </si>
  <si>
    <t>Falta de interés por parte de especialistas para inicio de proyectos de investigación</t>
  </si>
  <si>
    <t>Convocatorias de MinCiencias y otras instituciones para el fortalecimiento y ejecución de proyectos de investigación</t>
  </si>
  <si>
    <t>Alta rotación de coordinadores y personal administrativo en otras instituciones</t>
  </si>
  <si>
    <t>Convenios con diferentes universidades y contrapestaciones académicas</t>
  </si>
  <si>
    <t>Falta de competencias y formación en los médicos especialistas en docencia e investigación</t>
  </si>
  <si>
    <t>Convertirse en centro de buenas prácticas clínicas</t>
  </si>
  <si>
    <t>No gestión o aceptación de nuevos convenios</t>
  </si>
  <si>
    <t>Tres plazas rurales asignadas para el fortalecimiento de investigación</t>
  </si>
  <si>
    <t>Desarticulación y falta de apoyo de otras áreas para el proceso</t>
  </si>
  <si>
    <t>Mejora en la asignación de referentes por competencias para el proceso</t>
  </si>
  <si>
    <t>Desconocimiento del proceso de gestión académica e investigación dentro de la institución</t>
  </si>
  <si>
    <t>Interés por parte de la gerencia hacia el proceso</t>
  </si>
  <si>
    <t>Ausencia de asesor metodológico para fortalecer trabajo de rurales de investigación</t>
  </si>
  <si>
    <t>Comité de ética en investigación activo</t>
  </si>
  <si>
    <t>No adherencia a guías y protocolos de la institución</t>
  </si>
  <si>
    <t>Falta de criterios para la elección de médicos rurales al proceso de investigación</t>
  </si>
  <si>
    <t xml:space="preserve">Proyectos de investigación inconclusos </t>
  </si>
  <si>
    <t>Falta de presupuesto específico para investigación en la institución</t>
  </si>
  <si>
    <t>Gestión Documental</t>
  </si>
  <si>
    <t xml:space="preserve">Se cuenta con un depósito que unifica los archivos Central y de Historia clínica que permite optimizar los procesos de archivo y los tiempos de respuesta y el almacenamiento de la información a gran escala </t>
  </si>
  <si>
    <t>Tabla de retención documental desactualizada que dificulta la organización y manejo de los archivos y no obedece a las necesidades reales del manejo de información institucional.</t>
  </si>
  <si>
    <t>Sistema de calidad de mejoramiento continuo interno que permite el ajuste y actualización de la estructura documental del proceso de gestión documental.</t>
  </si>
  <si>
    <t>Amenaza de Orígen Biológico, físico y químico propia de los archivos.</t>
  </si>
  <si>
    <t xml:space="preserve">Anualmente se proyecta y ejecuta el plan de Transferencias documentales primarias para descongestionar las oficinas y cumplir con el el ciclo vital del documento </t>
  </si>
  <si>
    <t xml:space="preserve">Instrumentos archivísticos ( Programa de gestión documental, Cuadros de Clasificación, Modelo de requisitos) desactualizados </t>
  </si>
  <si>
    <t>Tener a acceso de conocimiento técnico y capacitación del personal de manera interna o a través de convenios con entidaes académicas.</t>
  </si>
  <si>
    <t>Cambios políticos.</t>
  </si>
  <si>
    <t xml:space="preserve">La serie misional de Historia clínica se encuentra sistematizada. </t>
  </si>
  <si>
    <t>Estructura documental del proceso de gestión documental desactualizada, manuales, procesos, procedimientos que documentan las actividades y flujos  de trabajo desarticualdos.</t>
  </si>
  <si>
    <t xml:space="preserve">Directrices actuales en materia de gestión documental a nivel departamental y nacional del Archivo General de la Nación. </t>
  </si>
  <si>
    <t xml:space="preserve">Cambios tecnológicos y obsolecencia de los sistemas de información </t>
  </si>
  <si>
    <t xml:space="preserve">El proceso de gestión documental cuenta con un plan de formación de inducción y reinducción en la organización de archivos que se alinea con el Plan de formación institucional. </t>
  </si>
  <si>
    <t xml:space="preserve">Carencia de procesos archivísticos de clasifiación, ordenación y descripción documental en los expedientes del Archivo de Historia Clínica física </t>
  </si>
  <si>
    <t xml:space="preserve">Crecimiento vertical que se puede dar en el depósito para el almancenamiento de los archivos y recepción de transferencias. </t>
  </si>
  <si>
    <t>Sanciones por incumplimiento de la
Ley 594 de 2000 y demás
disposiciones.</t>
  </si>
  <si>
    <t>Procesos de depuración y eliminación frecuentes de acuerdo a las tablas de retención documental, lo que permite la optimización del espacio.</t>
  </si>
  <si>
    <t>Archivo histórico sin constituir, no se tienen transferencias secundarias e inventarios del Archivo histórico.</t>
  </si>
  <si>
    <t xml:space="preserve">Aprovechamiento de los sistemas de información y de la tecnología para simplificar la gestión y almacenameitno de los documentos. </t>
  </si>
  <si>
    <t xml:space="preserve">Pérdida de información por falta de copias de seguridad, backups, y seguridad de la información </t>
  </si>
  <si>
    <t>Consulta con calidad en eficiciencia y oportunidad de requerimientos grupos de interés.</t>
  </si>
  <si>
    <t xml:space="preserve">Manejo de documento electrónico sin un SGDA que articule y permita el correcto almacenamietno de la documentación y preservación a largo plazo. </t>
  </si>
  <si>
    <t xml:space="preserve">Aprovechamiento de las herramientas informáticas y sistema de información para mitigar el consumo de recursos con la reducción del consumo de papel. </t>
  </si>
  <si>
    <t>Ingreso de personal no autorizado al los depósito de archivo.</t>
  </si>
  <si>
    <t>Se cuenta con una bodega que cumple con los requisitos mínimos de operación en conconrdancia con los sistemas de gestión ambiental y SST insttiucional para la adecuada conservación de los archivos</t>
  </si>
  <si>
    <t>Falta de un sistema de conservación a largo plazo que  permita la autenticidad y durabilidad de la información electrónica.</t>
  </si>
  <si>
    <t>Ser un centro de referenciacion para otras instituciones de salud.</t>
  </si>
  <si>
    <t xml:space="preserve">Emergencias y desastres naturales como incendio, inundación, terremoto,entre otros, en las instalaciones del archivo del hospital. </t>
  </si>
  <si>
    <t xml:space="preserve">Personal tecnico calificado para ejecutar las actividades de gestión documental. </t>
  </si>
  <si>
    <t>Falta de consolidación de procedimientos de digitalización de documentos.</t>
  </si>
  <si>
    <t xml:space="preserve">Fortalecer las medidas de seguridad y acceso a los archivos físicos y depósitos de archivo. </t>
  </si>
  <si>
    <t xml:space="preserve">Acumulación innecesaria de soportes documentales que evite el flujo del ciclo vital del documento, recepción innecesaria de papel. </t>
  </si>
  <si>
    <t>La entidad dispone de espacios destinados para la
recepción, registro y radicación de la correspondencia</t>
  </si>
  <si>
    <t xml:space="preserve">Falta de estantería que permita el almacenameitno de los archivos físicos y transferencias de documentos a archivo central. </t>
  </si>
  <si>
    <t>Realizar seguimiento en la funcionlaidad del sistema de gestión documental ORFEO para aprovechar su funcionalidad</t>
  </si>
  <si>
    <t xml:space="preserve">Factores Sociales como los conflictos de inseguridad en el país, pueden ocasionar deteriro y pérdida de la información. </t>
  </si>
  <si>
    <t>Monitoreo y control de los riesgos del proceso recientemente actualizado.</t>
  </si>
  <si>
    <t>No existe rastreo detallado de los radicados y tiempos de respuesta a las solictudes que se reciben el el área de correspondencia.</t>
  </si>
  <si>
    <t xml:space="preserve"> Escasos recursos de presupuesto.</t>
  </si>
  <si>
    <t xml:space="preserve">Se cuenta con sistmemas de información para el manejo y funionameitno de algunos procesos (facturación , historia clínica, correspondencia, calidad, nómina y  sistemas) </t>
  </si>
  <si>
    <t xml:space="preserve">Falencias en el software de gestión documental- ORFEO en cuanto al manejo de los archivos elctrónicos, transferencias documentales, préstamos y demás funcionalidades del sistema. </t>
  </si>
  <si>
    <t xml:space="preserve">Alta rotación de personal </t>
  </si>
  <si>
    <t xml:space="preserve">Generación de documentos físicos a gran volumen en las áreas asistenciales (consentimientos informados, imágenes de radiología,  electrocardiograma, soportes de medicamentos de alto costo,  lista de chequeo y registro de anestecia en sala de cirugía) y demás formatos fisicos que se siguen produciendo a pesar de tener el software de hsitoria clínica.  </t>
  </si>
  <si>
    <t>Gestión Tecnológica</t>
  </si>
  <si>
    <t>Personal Idoneo para el mantenimiento de equipos biomedicos de la institución.</t>
  </si>
  <si>
    <t>Falta de profesionales con experiencia en el nivel de complejidad de la institución, que ayuden a mejorar el funcionamiento de los equipos en los servicios.</t>
  </si>
  <si>
    <t>Inversión  en nuevas tecnologías biomédicas para los diferentes servicios de la institución</t>
  </si>
  <si>
    <t>Variación de la TRM para la adquisición de tecnología</t>
  </si>
  <si>
    <t xml:space="preserve">Trabajo en equipo ante las eventualidades presentadas en la institución </t>
  </si>
  <si>
    <t>No se cuenta con integración del software de ingeniería biomédica con las demás áreas de gestión de mantenimiento y con los servicios de la institución.</t>
  </si>
  <si>
    <t>Fortalecer el proceso de gestión de la tecnología con el proceso de acreditación.</t>
  </si>
  <si>
    <t>Incumplimiento en los tiempos de espera y que no cioicidan las tecnologias adquiridas con las entregadas.</t>
  </si>
  <si>
    <t>Equipos de buena tecnología para la atención de pacientes en los diferentes servicios de la institución</t>
  </si>
  <si>
    <t>Presencia de equipos médicos desactualizados que pueden afectar la calidad del servicio</t>
  </si>
  <si>
    <t>Convenios para la dotación de unidades o servicios que necesiten renovación de tecnologías.</t>
  </si>
  <si>
    <t>Cambios en la normativa de habilitación</t>
  </si>
  <si>
    <t>Se cuenta con un software para la gestión del mantenimiento de equipos biomédicos, desarrollado en la insitución</t>
  </si>
  <si>
    <t>Deterioro de equipos debido a las políticas de infecciones, por los dispositivos usados en limpieza y desinfección</t>
  </si>
  <si>
    <t>Formulación de proyectos ente ministerio y secretaria para fortalecimiento de servicios y apertura de nuevos sedes</t>
  </si>
  <si>
    <t xml:space="preserve">Plan de capacitaciones acorde a la necesidad de los servicios </t>
  </si>
  <si>
    <t>Aumento en la atención de pacientes lo que genera incremento en la necesidad de adquisición de equipos, sin embargo la Infraestructura inadecuada para instalación de los mismos</t>
  </si>
  <si>
    <t>Adquisición de equipos de última tecnología para servicios de alta complejidad.</t>
  </si>
  <si>
    <t>Cumplimiento normativo de conformidad con regulaciones y estándares de seguridad y calidad</t>
  </si>
  <si>
    <t>Falta de compromiso de profesionales de la salud en los servicios en el cuidado de los equipos que tienen en su servicio.</t>
  </si>
  <si>
    <t>QHSE</t>
  </si>
  <si>
    <t xml:space="preserve">Campañas eficaces de educación ambiental de cada uno de los programas de GA </t>
  </si>
  <si>
    <t xml:space="preserve">Falta de espacios aptos para capacitacion del personal de la institución </t>
  </si>
  <si>
    <t xml:space="preserve"> Alianzas que aporten a la sosteniblidad ambiental en la institución (gobernacion, entes no gubernamentales)</t>
  </si>
  <si>
    <t>Incumplimiento de gestor de residuos frente a la disposición final adecuada de los mismos</t>
  </si>
  <si>
    <t>Aporte para la huella de carbono por medio del proyecto del jardin botánico.</t>
  </si>
  <si>
    <t>Falta de herramientas tecnologicas para medición de indicadores de desempeño ambiental</t>
  </si>
  <si>
    <t>Requisitos ambientales para proveedores de suministros y prestacion de servicios</t>
  </si>
  <si>
    <t xml:space="preserve">Sanciones por incumplimiento a normatividad legal aplicable vigente </t>
  </si>
  <si>
    <t xml:space="preserve">Sistema de gestion ambiental certificado ICONTEC </t>
  </si>
  <si>
    <t xml:space="preserve">Inadecuada manipulacion de sustancias quimicas </t>
  </si>
  <si>
    <t xml:space="preserve">Politicas de cultura ambiental, mediante estrategias de sensibilización del adecuado manejo de residuos </t>
  </si>
  <si>
    <t>Aparición de nuevas normas o cambios normativos aplicables al SGA</t>
  </si>
  <si>
    <t xml:space="preserve">Registros estadisticos de los consumos de recursos naturales historicos del hospital </t>
  </si>
  <si>
    <t>Alto consumo de recursos naturales (Agua- Energia)</t>
  </si>
  <si>
    <t>Programas de Sostenibilidad referentes en el pais que aporten a la mejora continua del sistema</t>
  </si>
  <si>
    <t>Perdida de certificacion del SGA bajo NTC ISO 14001:2015 por el ente certificador</t>
  </si>
  <si>
    <t xml:space="preserve">Aprovechamiento de residuos reciclables </t>
  </si>
  <si>
    <t>Infraestructura Antigua que no garantiza la conduccion del caudal generado y obstruccion en tuberias y cañerias a causa de residuos solidos dispuestos en los mismos, perjudicando el ambiente interno de la instalaciones.</t>
  </si>
  <si>
    <t xml:space="preserve">Descontaminacion visual de las diferentes areas del hospital </t>
  </si>
  <si>
    <t>Copamiento del relleno sanitario de PIRGUA</t>
  </si>
  <si>
    <t>Control operacional constante mediante el SGA de la
Entidad</t>
  </si>
  <si>
    <t>Falta de asignación de presupuesto para innovación de energia sostenible</t>
  </si>
  <si>
    <t>Lineas de referenciación con instituciones verdes ejemplo a nivel nacional</t>
  </si>
  <si>
    <t xml:space="preserve">Contingencias presentadas con el transporte y movilización de residuos </t>
  </si>
  <si>
    <t xml:space="preserve"> Revision y evaluacion de la matriz legal del Sistema de Gestion Ambiental, por medio de un auditor externo </t>
  </si>
  <si>
    <t>No se cuenta con Acuerdos de compras de productos amigables con el medio ambiente</t>
  </si>
  <si>
    <t xml:space="preserve">Tecnologias para reducción de los impactos ambientales </t>
  </si>
  <si>
    <t>Falta de gestores de residuos RAEE con licencias de aprovechamiento de los mismos</t>
  </si>
  <si>
    <t xml:space="preserve">Equipo de trabajo comprometido y profesional </t>
  </si>
  <si>
    <t>Falta de integración de lideres de servicios y/o procesos
para el trabajo en equipo en la gestion del cambio</t>
  </si>
  <si>
    <t xml:space="preserve">Espacios didacticos de capacitación para el personal </t>
  </si>
  <si>
    <t xml:space="preserve">Incumplimiento de los contratistas en materia de gestion ambiental </t>
  </si>
  <si>
    <t>Existencia del Comité GAGAS de la institución</t>
  </si>
  <si>
    <t xml:space="preserve">Vertimientos de aguas residuales sin tratamiento alguno </t>
  </si>
  <si>
    <t xml:space="preserve">Indicadores de gestion del sistema de gestion ambiental </t>
  </si>
  <si>
    <t xml:space="preserve">
Falta de cobertura en la evaluación y seguimiento a los tercerizados en cuanto al cumplimiento de los sistemas de gestión como lo son: SGA
</t>
  </si>
  <si>
    <t>Programas de Gestión de Riesgo, garantizando medidas de intervención de acuerdo a las necesidades identificades</t>
  </si>
  <si>
    <t>Bajo Porcentaje de adherencia a los PGR (programas de gestión del riesgo SST) por parte de los colaboradores de la institución</t>
  </si>
  <si>
    <t>Disponibilidad y Apoyo de los lideres (SST) de los tercerizados en cuanto al cumplimiento del SG-SST</t>
  </si>
  <si>
    <t>Falta de Cultura de autocuidado y comportamientos seguros en SST por parte del cliente externo del HUSRT</t>
  </si>
  <si>
    <t>Fortalecimiento de Equipo de SST, con experiencia en manejo de sistemas de gestión de SST en la parte operativa</t>
  </si>
  <si>
    <t>Dificultad en la transferencia de conocimiento en prevención del Riesgo</t>
  </si>
  <si>
    <t>Apoyo por parte de las ARL en capacitaciones de los diferentes programas de gestion del riesgo dirigidas a los colaboradores</t>
  </si>
  <si>
    <t>Baja adherencia en controles para el desarrollo de obra civil por parte de los terceros involucrados</t>
  </si>
  <si>
    <t>Articulacion para la prevención y mitigación del riesgo a traves del desarrollo del Plan de Trabajo con los diferentes encargado del SG SST de los tercerizados de la institución</t>
  </si>
  <si>
    <t>Ambientes con alteraciones en cuanto ruido, iluminación, temperatura, ventilación, entre otros, dentro del HUSRT por la no ejecución de un plan de intervención con base a los resultados de las mediciones ambientales los diferentes servicios</t>
  </si>
  <si>
    <t xml:space="preserve">Oferta de recurso externo para la formación  y entrenamiento de prevencion de riesgo ante emergencias </t>
  </si>
  <si>
    <t xml:space="preserve">Empresas Tercerizadas que prestan servicios en la ESE HUSRT no cuentan con COPASST y COCOLA propios dentro de la Institución que dificulta la articulación para el desarrollo de actividades </t>
  </si>
  <si>
    <t>Fortalecimiento de Indicadores de SST que permite la toma de decisiones con base en datos</t>
  </si>
  <si>
    <t>Incumplimiento a la medición de la Matriz Legal de SG SST de acuerdo al Procedimiento CA-PR-04 Identificación y  Evalaución de Requisitos Legales</t>
  </si>
  <si>
    <t>Oferta de recurso externo para la formación en prevencion de  riesgo psicosocial</t>
  </si>
  <si>
    <t>Presentacion de PQRS generadas por el Cliente Externo por Incumplimiento al Decreto Ley 1072/2015 y a  la Resolucion 2400/1979</t>
  </si>
  <si>
    <t>Compromiso de la Alta Dirección con el fortalecimiento del SGSST</t>
  </si>
  <si>
    <t>Baja disponibidad de tiempos para desarrollo del plan de formacion que genera disminución en cobertura y conocimiento en prevención de Riesgos de los Colaboradores</t>
  </si>
  <si>
    <t>Estrategia Municipal de Gestion de Riesgo que garantiza articualción con entidades presente en el Municipio para la atención  de emergencias de multiples victivas de origen externo</t>
  </si>
  <si>
    <t>Articulación por parte del COPASST del HUSRT con el 70% de los COPASST y COCOLA de los tercerizados para el despliegue de las diferentes actividades de mitigacion para la Gestión del Riesgo</t>
  </si>
  <si>
    <t>Formacion y Certificación de Brigadistas Integrales, ubicados en los diferentes servicios y/o areas para respuesta ante emergencias</t>
  </si>
  <si>
    <t>Fortalecimiento de la Respuesta ante emergencia a nivel institucional</t>
  </si>
  <si>
    <t>Disponibilidad de mayor tiempo administrativo en la Coordinación de la unidad de Recién Nacidos (lideres enfermería y lider medico)  teniendo en cuenta que son necesarios tiempos especificos para ejecutar actividades administrativas que permitan realizar seguimiento y mejorar los procesos para la prestación del servicio requeridos por la unidad de Recién Nacidos.</t>
  </si>
  <si>
    <t>Reducción de tiempos administrativos del lider de terapia respiratoria, dificultando la articulación en la coordinacion del servicio que permita la optimización de los procesos para la adecuada prestación del servicio</t>
  </si>
  <si>
    <t>Instituciones con UCIN acreditadas para realizar referenciación que permita orientar temas especificos para la institución</t>
  </si>
  <si>
    <t>Incumplimiento en el Lineamiento Ministerial Ley 2310 de 2023 en cuanto a la capacitación en manejo del duelo gestacional y perinatal con posterior elaboración del protocolo</t>
  </si>
  <si>
    <t>Actualización y entrenamiento del personal de la unidad de Recién Nacidos en el manejo del paciente neonato, que involucre a las diferentes profesiones que se desempeñan dentro de la unidad de recién Nacidos. (con instituciones de educación).</t>
  </si>
  <si>
    <t>Alcance insuficieinte para el manejo  del dolor en el recien nacido hospitalizado en la UCIN</t>
  </si>
  <si>
    <t>Documentacion en Experiencias Exitosas de otras entidades de salud en manejo del dolor</t>
  </si>
  <si>
    <t>Las familias o la mamá no tienen donde quedarse en Tunja para que haga el seguimiento PMC</t>
  </si>
  <si>
    <t>Somos la ÚNICA UCI Neonatal de la red pública del Departamento</t>
  </si>
  <si>
    <t>Manejo insuficiente del duelo en caso de muerte neonatal por falta de protocolos establecidos</t>
  </si>
  <si>
    <t xml:space="preserve">Única unidad neonatal  publica que presta el servicio a los 123 municipios del departamento de Boyacá y además recepcióna pacientes de otros  departamentos, esto hace que estemos en sobrecupo a diario, aun teniendo en cuenta que la infraestructura es amplia  pero no cuenta con la disponibilidad de camas, personal y suministros necesarios para atender eficazmente  la población que lo requiere </t>
  </si>
  <si>
    <t>Capacidad de atención de récien nacidos de alta complejidad.</t>
  </si>
  <si>
    <t>Personal capacitado Insufuciente en UCIN para cubrir incapacidades, permisos, calamidades o contingencias por sobreocupación</t>
  </si>
  <si>
    <t>Limitacion de recursos por el estado debido al Incumplimiento de estandares de acreditación para mantener el certificado de Institución Universitaria</t>
  </si>
  <si>
    <t>Reuniones periódicas del personal asistencial de la unidad para actualización y socialización de protocolos y guías de manejo.</t>
  </si>
  <si>
    <t>Encuesta de atención humanizada a los usuarios de manera sistemática sin un análisis que genere impacto en el programa.</t>
  </si>
  <si>
    <t>Inconformismo por parte del Cliente Externo</t>
  </si>
  <si>
    <t>Educación y formación en los perfiles ocupacionales/ profesionales que necesita la UCI neonatal, lo cual se encuentra establecido en los requeriemientos de habilitación de la resolución 3100, además del establecimiento del plan de formación continua para la vigencia 2023.</t>
  </si>
  <si>
    <t>Alta rotacion de personal que pone en riesgo la continuidad y el fortalecimeinto de la lactancia materna en la unidad</t>
  </si>
  <si>
    <t>Aumento de la morbimortalidad de recien nacidos con o sin factores de riesgo por demoras en seguimiento en la 1era semana de vida como lo establece la resolucion 3280 de 2018 ( valoracion en la primera semana de vida)</t>
  </si>
  <si>
    <t>Ausencia  de seguimiento (valoracion consulta externa) al recién nacido sano o de bajo riesgo durante la primera semana de vida en la HUSRT, y/o recien nacidos egresados de la UCIN con alto riesgo (no candidatos a PMC)</t>
  </si>
  <si>
    <t>F + O</t>
  </si>
  <si>
    <t>D + O</t>
  </si>
  <si>
    <t>ESTRATEGIAS</t>
  </si>
  <si>
    <t>FORTALEZA - OPORTUNIDAD  (F O)</t>
  </si>
  <si>
    <t>DEBILIDAD - AMENAZA (D A)</t>
  </si>
  <si>
    <t>DEBILIDAD - OPORTUNIDAD (D O)</t>
  </si>
  <si>
    <t>FORTALEZA - AMENAZA (F A)</t>
  </si>
  <si>
    <t>Materializar la prestación de servicios a través de telemidicina</t>
  </si>
  <si>
    <t>Crear para procedimientos solicitados de alto costo, junta asistencial para valorar los diferentes aspectos del paciente</t>
  </si>
  <si>
    <t>Crear un comité multidisciplinario institucional en materia de seguridad y salud en el trabajo en recomendaciones laborales con ampliacion de estudios diagnosticos que permitan llegar a un diagnostico mas especifico</t>
  </si>
  <si>
    <t>Aumentar muestra y periodicidad en la medición de adherencia a las guías basadas en evidencia adoptadas en la entidad</t>
  </si>
  <si>
    <t xml:space="preserve">Fortalecer estructura organizacional en cuanto a mapas de procesos y organigrama a fin de tener funciones claras de cada área </t>
  </si>
  <si>
    <t>Definir actualización de manual y estatuto de contratación para ser mas eficientes en cuanto a la oportunidad de compra de insumos y medicamentos faltantes vitales para la operación de servicio</t>
  </si>
  <si>
    <t>Articular con el ente departamental estrategias de capacitación con especial enfasis en los programas institucionales</t>
  </si>
  <si>
    <t>Fortalecer el procedimiento de egresoseguro y seguimientos pos egreso</t>
  </si>
  <si>
    <t>Presentar plan de vinculación a nómina de especialistas</t>
  </si>
  <si>
    <t>Urgencias</t>
  </si>
  <si>
    <t xml:space="preserve">Continuar con los ajustes en la tecnologia para la gestión del riesgo asistencial. </t>
  </si>
  <si>
    <t xml:space="preserve">Establecer sistemas de monitoreo y seguimiento de la actividad asistencial </t>
  </si>
  <si>
    <t>Creación de equipo de respuesta rápida  esto con la intenciónme un mejor la actuación del personal de enfermería en un paciente en pacientes con riesgo vital.</t>
  </si>
  <si>
    <t>Desarrollar estudios de viabilidad de telesalud como estrategia complementaria en el modelo de atención primaria en salud.</t>
  </si>
  <si>
    <t>Establecer un modelo de inducción y reinducción en puesto de trabajo que permita una mayor apropación del conocimento del area.</t>
  </si>
  <si>
    <t>Presentar el tablero de logros al personal de cada servicio que permita reconocer fortaleces e identificar oportunidades de mejora.</t>
  </si>
  <si>
    <t>Iniciar con la evaluación periodica de consumos directos por consumos del servicio y establecer acciones de mejora de acuerdo a los hallazgos .</t>
  </si>
  <si>
    <t xml:space="preserve">Realizar la evaluación periodica del talento humano que permita establecer planes acorde a la necesidad real </t>
  </si>
  <si>
    <t>Implementar programas de educación médica continua y desarrollo profesional para el personal médico y de enfermería, garantizando que estén actualizados con las últimas prácticas y avances en medicina y cirugía.</t>
  </si>
  <si>
    <t>Implementar sistemas de gestión de agendas quirúrgicas que optimicen la programación de procedimientos, priorizando casos urgentes y minimizando tiempos de espera innecesarios para los pacientes.</t>
  </si>
  <si>
    <t>Desarrollar un plan estratégico de recursos humanos que tenga en cuenta tanto las necesidades actuales de capacitación y desarrollo del personal como las proyecciones de crecimiento en la demanda de servicios médico-quirúrgicos a largo plazo</t>
  </si>
  <si>
    <t>Aprovechar la excelencia académica del hospital para desarrollar programas de educación continua en cumplimiento normativo dirigidos al personal en todos los niveles.</t>
  </si>
  <si>
    <t>Formar alianzas con empresas de tecnología médica y farmacéuticas para acceder a tecnologías de vanguardia, dispositivos médicos innovadores y ensayos clínicos, que mejoren la calidad y eficacia de la atención quirúrgica.</t>
  </si>
  <si>
    <t>Desarrollar y promover servicios médico-quirúrgicos especializados y únicos que diferencien al hospital de la competencia, como centros de excelencia en ciertas especialidades o enfoques innovadores de tratamiento.</t>
  </si>
  <si>
    <t>Utilizar avances en tecnología médica y sistemas de información para implementar programas de telemedicina y telesalud que permitan la prestación de servicios médico-quirúrgicos de manera remota o virtual.</t>
  </si>
  <si>
    <t>Ofrecer programas de desarrollo profesional en investigación para el personal médico y científico del hospital, incluyendo becas de investigación, cursos de metodología de investigación y oportunidades de colaboración con investigadores externos.</t>
  </si>
  <si>
    <t>Desarrollar programas de educación y promoción de la salud dirigidos a la comunidad local para aumentar la conciencia sobre la importancia de la prevención y el acceso temprano a la atención médica, lo que puede reducir la carga de enfermedades y la necesidad de intervenciones quirúrgicas.</t>
  </si>
  <si>
    <t>Evaluar y ajustar la distribución de personal y recursos en función de la demanda de servicios médico-quirúrgicos, asegurando una asignación eficiente de recursos y una cobertura adecuada durante los períodos de mayor demanda.</t>
  </si>
  <si>
    <t>Destinar recursos para la implementación de sistemas de información integrados que cumplan con los requisitos regulatorios y simplifiquen el proceso de seguimiento y reporte de datos clínicos</t>
  </si>
  <si>
    <t xml:space="preserve">Maximizar el uso y la eficiencia del equipamiento médico avanzado mediante la implementación de programas de mantenimiento preventivo y capacitación del personal en el manejo adecuado de los equipos. </t>
  </si>
  <si>
    <t xml:space="preserve"> Establecer un programa de actualización tecnológica continua para garantizar que el hospital esté equipado con tecnología médica de última generación, lo que mejora la precisión, eficiencia y seguridad de los procedimientos quirúrgicos.</t>
  </si>
  <si>
    <t>Establecer alianzas estratégicas con otros proveedores de atención médica, como clínicas especializadas o centros de referencia, para expandir la red de atención del hospital y acceder a nuevas oportunidades de derivación de pacientes y colaboración clínica.</t>
  </si>
  <si>
    <t>Ampliar la oferta de servicios médico-quirúrgicos para incluir programas de atención integral que aborden las necesidades de pacientes con condiciones complejas o crónicas, diferenciando así al hospital de la competencia mediante una oferta única y completa de atención médica.</t>
  </si>
  <si>
    <t>Gestión Farmaceútica</t>
  </si>
  <si>
    <t xml:space="preserve">Contar con el talento humano idoneo para obtener la certificacion en buenas practicas de elaboracion </t>
  </si>
  <si>
    <t>Contar con software que optimice los procesos relacionados con el manejo de inventarios, modulo de mezclas y seguimiento farmacoterapeutico</t>
  </si>
  <si>
    <t>Capacitar al personal de las diferentes areas relacionadas en el proceso de obtencion de Buenas practicas de elaboracion de manera que se pueda cumplir con el objetivo de  la certificacion</t>
  </si>
  <si>
    <t>Disponer de espacios adecuados de acuerdo a la normatividad para mejorar la operación del servicio en las diferentes areas tanto administrativas como dispensacion.</t>
  </si>
  <si>
    <t>Realizar adecuación de infraestructura hospitalaria propia acorde con los requerimientos de servicios ambulatorios F41+O40</t>
  </si>
  <si>
    <t>Fortalecer mecanismos establecidos para disminuir inasistencia que impacten en nùmero de citas programadas D41+A40</t>
  </si>
  <si>
    <t>Fortalecer y capacitar el recurso humano en áreas especìficas para el proceso de acreditaciòn institucional D40+D42+O43</t>
  </si>
  <si>
    <t>Participar en mesas intersectoriales para el fortalecimiento de rutas de atenciòn integral F48+A42</t>
  </si>
  <si>
    <t>Implementar los estándares de acreditación aplicables a los servicios ambulatorios y de atenciòn al ciudadano F45+F46+O43</t>
  </si>
  <si>
    <t>Implementar el modelo de prestaciòn de servicios bajo el ciclo PHVA tanto interna como externamente D43+A43</t>
  </si>
  <si>
    <t>Articular el modelo de prestaciòn de servicios al modelo de salud preventivo y predictivo D43+O42</t>
  </si>
  <si>
    <t>Fortalecer la prestaciòn de servicios ambulatorios con la implementaciòn de nuevas tecnologìas F49+O41</t>
  </si>
  <si>
    <t>Articular a los procesos de atenciòn actividades preventivas y predictivas establecidas en el nuevo modelo de salud F40+O42</t>
  </si>
  <si>
    <t>Adecuada definición del organigrama funcional de manera que permita definir roles y respoonsabilidade claras</t>
  </si>
  <si>
    <t>D55+A54 Generar conciencia a nivel institucional sobre la importancia de dar respuesta oportuna a procesos judiciales para reducir el impacto financiero</t>
  </si>
  <si>
    <t>D52+O53  Establecer mecanimos de control en el uso de recursos buscando disminuir los costos de operación</t>
  </si>
  <si>
    <t>Asignación de funciones específicas en la gestión de recursos, a coordinadores de servicios</t>
  </si>
  <si>
    <t>Fortalecer programa SICOF de manera que permita la reducción de costos por prularidad de oferentes en la contratación</t>
  </si>
  <si>
    <t>D56+O54 Proponer formalización laboral de área administrativa</t>
  </si>
  <si>
    <t>D51+O51 Optimización en el uso de los sistemas de información lo que permite obtener información de calidad para la toma de decisiones</t>
  </si>
  <si>
    <t>Solicitar al Grupo de Gestión de Talento Humano capacitar a los abogados, especialmente en lo que se refiere a las competencias de actuación en los procesos orales y en los nuevos cambios normativos y otras temáticas requeridas  F58+O58+059+060</t>
  </si>
  <si>
    <t>Solicitar mediante circular o memorando la oportunidad en la entrega de informes y/o elementos materiales probatorios que se deban presentar en la actuaciones procesales por parte de las dependencias ejecutoras D58+D60+A58</t>
  </si>
  <si>
    <t>Solicitar capacitación en modificaciones normativas y procedimental vigentes y realizar jornadas internas de actualización D61+O60</t>
  </si>
  <si>
    <t>Mantener actualizado el sistema de control de procesos judiciales  utilizar y generar las alertas tempranasy alarmas para contestación de demandas, audiencias, alegatos, entre otras., MEDIANTE SOFTWARE JURÍDICO F59+A58+A59</t>
  </si>
  <si>
    <t>Asesorar y acompañar al nivel directivo desde el Comité de Conciliación, Comités Jurídicos y Mesas de Trabajo. F62+O59</t>
  </si>
  <si>
    <t>Reportar a la Oficina de Control Disciplinario cuando se materialicen sanciones por incumplimiento a las ordenes judiciales D65+A60</t>
  </si>
  <si>
    <t>Solicitud para incluir en el plan de compras vigencia 2024-2027 presupuesto para suscripción a portales de consulta de jurisprudencia y legislación D61+O58</t>
  </si>
  <si>
    <t>Revisar por lo menos una vez al año el reglamento del Comité de Conciliación y la Polìtica de Prevención del Daño Antijurídico F63+A60+A61</t>
  </si>
  <si>
    <t>Aplicar los lineamientos de la Política de Prevención del Daño Antijurídico, de actos administrativos, directrices, procedimientos, circulares establecidas y de la normatividad vigente al interior entidad F63+O59</t>
  </si>
  <si>
    <t>Articulación con otras dependencias, sensibilización de la importancia de respuesta oportuna de requerimientos
D58+D60+A58</t>
  </si>
  <si>
    <t>Digitalización de los conceptos proferidos por la dirección F61+A60</t>
  </si>
  <si>
    <t>La oficina jurídica por medio de su jefe de ofina realiza comites, reuniónes, talleres con el proposito de establecer unos lineamientos que unifiquen los críterios para los diferentes procesos F61+A60</t>
  </si>
  <si>
    <t>Fortalecimiento  del equipo trabajo  con  mano de obra calificada  F70 +O71</t>
  </si>
  <si>
    <t>Fortalecer las capacitaciones para brindar mayor conocimiento  al personal D70+</t>
  </si>
  <si>
    <t>Implementar sotfware que permita mejorar los registros  asocuados al plan de mantenimiento agilizando  tiempos de seguimiento y evaluacion  D71+O70</t>
  </si>
  <si>
    <t>Ajustar procesos y procedimientos a los cambios normativos F71+A2¿71</t>
  </si>
  <si>
    <t>Modernización de los equipos industriales hospitalarios F72+070</t>
  </si>
  <si>
    <t>Gestionar un ambiente o zona de rotación de áreas asistenciales para poder hacer adecuaciones y mejoramiento a los servicios D75+A70</t>
  </si>
  <si>
    <t>Gestionar ante las entidades competentes proyectos de inversion para modernizacion infraestructura D72+O70</t>
  </si>
  <si>
    <t>Fortalecer la adherencia del personal a los procedimientos y metas institucionales, desde el reclutamiento hasta la ejecución de actividades.</t>
  </si>
  <si>
    <t>Fortalecer el sistema de información que se ajuste a la normatividad vigente y a las necesidades de cada entidad responsable de pago.</t>
  </si>
  <si>
    <t>Obtener acercamientos con las diferentes entidades responsables de pago, a fin de asegurar reconocimiento y pago de la cartera por prestación de servicios de salud y con entes gubernamentales para el pago de los servicios prestados a usuarios de entidades en procesos de liquidación.</t>
  </si>
  <si>
    <t>Realizar trabajo en equipo a fin de lograr la correcta utilización de las plataformas utilizadas por cada EAPB.</t>
  </si>
  <si>
    <t>Participación en diferentes escenarios en donde se realizan mesas de trabajo para lograr mayor fluides de recursos como lo son: MESAS EXTRAJUDICIALES realizadas por la SUPERSALUD, mesas de circular 030 organizadas por las SECRETARIAS DE SALUD de cada departamento, entre otras.</t>
  </si>
  <si>
    <t>Requerimiento de mejora al sistema SERVINTE, para realizar consultas y articulación de los estados de cartera.</t>
  </si>
  <si>
    <t>Optimizar el sistema de información para obtener conciliaciones, revisión de cuentas y adaptada a cada entidad responsable de pago.</t>
  </si>
  <si>
    <t>Retroalimentación de acuerdo a la normatividad vigente y actual.</t>
  </si>
  <si>
    <t>Realizar actividades que permitan el desarrollo integral del equipo de trabajo, como pausas activas, comunicación asertiva, entre otras.</t>
  </si>
  <si>
    <t>F106+O105 Gestionar un enlace entre el Hospital y las empresas tercerizadas a fin de articular las actividades encaminadas a capacitación y bienestar</t>
  </si>
  <si>
    <t>D108+A105 Establecer mecanismos para socialización efectiva y oportuna de políticas y/o documentos institucionales que incluyan al personal de empresas tercerizadas</t>
  </si>
  <si>
    <t>D109+D105+O105 Fortalecer la articulación entre el Hospital y las empresas tercerizadas mejorando los canales institucionales de comunicación involucrando a su personal en las actividades</t>
  </si>
  <si>
    <t>F104+A104 Mejorar el proceso de documentación para el cumplimiento de la normatividad y prevención de hallazgos o sanciones</t>
  </si>
  <si>
    <t>D107+O104 Implementar una solución tecnológica que permita optimizar el proceso de solicitud, entrega, control y seguimiento de dietas hospitalarias</t>
  </si>
  <si>
    <t>Aplicar a convocatorias y mejorar la categoría asignada por MinCiencias a los grupos de investigación de la institución F123+O124</t>
  </si>
  <si>
    <t>Generar lineamientos contractuales que defina las actividades de los especialistas en materia de formación e investigación D124+A123</t>
  </si>
  <si>
    <t>Potencializar la formación de talento humano en salud aprovechando las contraprestaciones por convenios docencia servicio D125+O123</t>
  </si>
  <si>
    <t>Fortalecer el proceso de admisión dandole estricto cumplimiento a los lineamientos establecidos en los convenios docencia servicio F125+A123</t>
  </si>
  <si>
    <t>Articulación mediante contraprestación para realizar proyectos de investigación interinstitucional F124+O123</t>
  </si>
  <si>
    <t>Fortalecimiento del equipo de investigación con un asesor metodológico para fortalecer el proceso de investigación D128+A123</t>
  </si>
  <si>
    <t>Aumento de proyectos de investigación publicados a través de seguimiento y evaluación estricta de los proyectos radicados D131+O125</t>
  </si>
  <si>
    <t>Aumento de productividad científica mediante el establecimiento de requisitos de investigación específicos para residencias médicas F124+A123</t>
  </si>
  <si>
    <t>Alianzas interinstitucionales para convertirse en centro de buenas prácticas clínicas F123+O125</t>
  </si>
  <si>
    <t>Incentivar y fortalecer económicamente los procesos de investigación y publicación de artículos en revistas indexadas D132+O125</t>
  </si>
  <si>
    <t>Mejorar el proceso de asignación de plazas rurales en investigación por competencias para convertirse en centro de buenas prácticas clínicas F126+O125</t>
  </si>
  <si>
    <t>Garantizar la idoneidad en el talento humano lider del proceso para el fortalecimiento y avance en academia e investigación</t>
  </si>
  <si>
    <t>Gestión Documenta</t>
  </si>
  <si>
    <t>Optimizar el almacenamiento de la información a gran escala en el  depósito de archivo. F133+O136</t>
  </si>
  <si>
    <t>Optimizar el manejo de los documentos institucionales  dando cumplimiento a la aLey 594 de 2000 actualizando la Tabla de retención documental para la organización y manejo de la información institucional D133+A136</t>
  </si>
  <si>
    <t>Alinear el trabajo archivístico con las directrices actuales en materia de gestión documental a nivel departamental y nacional del Archivo General de la Nación para adelantar proceso de actualización de instrumentos archivisticos documental D133+O135</t>
  </si>
  <si>
    <t xml:space="preserve">Mitigar los riesgos biológicos, físicos y químicos a través del control de plagas y fumigación del depósito en articulación con el sistema de gestión ambiental del hospital. </t>
  </si>
  <si>
    <t xml:space="preserve">
Generar mayor funcionalidad al sistema ORFEO a través del seguimiento a la recepción, registro y radicación de la correspondencia y tiempos de respuesta F143+O141</t>
  </si>
  <si>
    <t>Fortalecer el sistema de gestión de documento electrónico SGDA que  permita el correcto uso, almacenamietno y preservación de la documentación y evite la pérdida de información.  D138+A137</t>
  </si>
  <si>
    <t>Fortalecer la estructura documental del proceso de gestión documental, manuales, procesos, procedimientos, articularlos y unificarlos.  D135+O133</t>
  </si>
  <si>
    <t>Mitigar el uso de recursos con la reducción del consumo de papel a través del aprovechamiento de las herramientas informáticas y sistema de información. F143+O138</t>
  </si>
  <si>
    <t xml:space="preserve"> Establecer estrategias de conservación y durabilidad de la información electrónica teniendo en cuenta los cambios tecnológicos y obsolecencia de los sistemas de información. D139+A135</t>
  </si>
  <si>
    <t>Alinear el trabajo archivístico con las directrices actuales en materia de gestión documental para la aplicación de procesos archivísticos de clasificación, ordenación y descripción documental en los expedientes del Archivo de Historia Clínica física D136+O135</t>
  </si>
  <si>
    <t>Realizar de manera periódica la  limpieza y aseo del depósito  para mantenieminto y conservación de los archivos y mitigación los riesgos biológicos, físicos y químicos.</t>
  </si>
  <si>
    <t>Simplificar la gestión  y almacenamiento de los documentos con la adquisicón de nuevos sistemas de información D138+D140+O138</t>
  </si>
  <si>
    <t xml:space="preserve">Alineación con el sistema de seguridad y salud en el trabajo SST de la institución para  estar preparados ante Emergencias y desastres naturales como incendio, inundación, terremoto,entre otros, haciendo buen uso de las alarmas extintores y demas elementos. </t>
  </si>
  <si>
    <t>Realizar la contratación de personal con amplia experiencia en entidades de salud de tercer nivel.</t>
  </si>
  <si>
    <t>Optimizar las pruebas teoricas, prácticas, y tener en cuenta la experiencia de las personas que se presenten al cargo</t>
  </si>
  <si>
    <t>Establecer alianzas estratégicas con los diferentes entes territoriales para la dotación de nuevos equipos en la institución</t>
  </si>
  <si>
    <t xml:space="preserve">Gestionar la Integración de Software aplicable al proceso con los demas software institucionales </t>
  </si>
  <si>
    <t>Fortalecer las relaciones interpersonales en proceso de biomédica, con el fin de solidificar el trabajo en equipo del área</t>
  </si>
  <si>
    <t>Gestionar los proyectos de inversión de tecnología biomédica de la institución</t>
  </si>
  <si>
    <t>Solicitar desmostraciones de últimas tecnologías con las empresas que las distribuyan y así saber si son las óptimas para su adquisción</t>
  </si>
  <si>
    <t xml:space="preserve">Fortalecer el desarrollo del sotfware de lnstitución con el fin de dar soluciones al desarrollo de gestión de mantenimiento de la institución </t>
  </si>
  <si>
    <t>Fortalecer las especifiaciones técnicas de la tecnología a adquirir de los servicios de la institución.</t>
  </si>
  <si>
    <t>Fortalecer las capacitaciones en manejo de la tecnología a los servicios de la institución que lo requieran</t>
  </si>
  <si>
    <t>Renovar de una manera progresiva algunos equipos obsoletos en la institución</t>
  </si>
  <si>
    <t xml:space="preserve">F151+0153 Implementación de campañas de sensibilizacion y establecimiento de politicas verdes para incentivacion del personal por el cuidado del medio ambiente </t>
  </si>
  <si>
    <t>D153+A152 Implementar estretegias para fortalecimiento en la toma de conciencia acerca del Sistema Globlamente Armonizado a los trabajadores de la institución.</t>
  </si>
  <si>
    <t xml:space="preserve">D157+O152 Implementacion de requisitos ambientales en los diferentes tipos de contratación de la institución y seguimiento al cumplimiento de los mismos </t>
  </si>
  <si>
    <t xml:space="preserve">F155+A155 Implementacion de estrategias para reduccion de la generacion de residuos de la institución </t>
  </si>
  <si>
    <t xml:space="preserve">F152+0151 Fortalecimiento del programa de huella de Carbono por medio de presentaciones y alianzas con instituciones u entes no gubernamentales que aporten impulso y reconocimiento a la estrategia </t>
  </si>
  <si>
    <t>D160+A154 Implementacion de la Gestión del Cambio en los Proyectos vigencia 2024 y seguimiento al cumplimiento de los requisitos ambientales del Sistema de Gestion Ambiental</t>
  </si>
  <si>
    <t>D156+O156 Establecer procesos de referenciación con otras instituciones ejemplo del pais, para implementacion de estrategias de alto impacto educativo en la institución</t>
  </si>
  <si>
    <t xml:space="preserve">F156+A157 Establecer alianzas con gestores de residuos RAEE para garantizar la disposicion final o aprovechamiento de los mismos </t>
  </si>
  <si>
    <t xml:space="preserve">F154+O157 Plantear estrategias para reduccion de los consumos de recursos naturales en la institución y generar planes de accion para las mismas. </t>
  </si>
  <si>
    <t xml:space="preserve">D158+A158 Capacitacion a lideres de proceso acerca de la importancia de la inclusion de los requisitos ambientales en sus diferentes actividades misionales </t>
  </si>
  <si>
    <t xml:space="preserve">D151+O158 Adaptación de un aula ambiental de capacitaciones en la institución  para sensibilización del personal </t>
  </si>
  <si>
    <t xml:space="preserve">D152+O159 Revision de los objetivos del sistema de gestion ambiental y creacion de indicadores de gestion del sistema </t>
  </si>
  <si>
    <t>F168+O165 Fortalecimiento del Plan Hospitalario de Emergencias</t>
  </si>
  <si>
    <t>D163+A164 Plan de Intervención Producto de las Mediciones Higienicas Ambientales</t>
  </si>
  <si>
    <t>D161+D162+D165+O163+O164 Generación de Tiempos durante la Jornada Laboral para Participacion en Actividades de Formacion en Emergencias, Riesgo Psicosocial y Comportamientos Seguros</t>
  </si>
  <si>
    <t>F162+A162 Garantizar espacios de obra civil con cobertura de riesgos para el cliente interno y externo</t>
  </si>
  <si>
    <t>F164+O161 Caracterizacion de los Indicadores de manera desagregada que permite toma de desiciones para la mitigación del riesgo</t>
  </si>
  <si>
    <t>D164+A164 Evaluacion al Cumplimiento de Requisitos Legales SST</t>
  </si>
  <si>
    <t>F166+A163 Articulacion con el 100% de los Comites de los Tercerizados que prestan servicios a la ESE HUSRT</t>
  </si>
  <si>
    <t>F167+O162 Plan Articulado para la Formación de Brigadistas</t>
  </si>
  <si>
    <t>F161+A161 Programa Seguridad Basada en Comportamientos</t>
  </si>
  <si>
    <t>F169+F171+F172+O169 Fortalecer procesos actuales asi como la creación de nuevos protocolos enfocados a manejo humanizado y acreditación en la UCIN</t>
  </si>
  <si>
    <t xml:space="preserve">D169+A172 Fortalecer el Equipo de trabajo de la UCIN para garantizar el cumplimiento oportuno de las actividades que viene desarrollando la institucion en pro del cumplimiento de los estandares de acreditación  </t>
  </si>
  <si>
    <t>D170+O170 Documentar, implementar y medir a nivel Institucional el Manejo del Dolor</t>
  </si>
  <si>
    <t>F170+F173+F174+A171Fortalecer las capacidades del equipo de trabajo para hacer frente a las multiples necesidades de salud de los pacientes de la UCIN</t>
  </si>
  <si>
    <t>D171+A169 Fortalecer el Manejo del Duelo Gestacional y Perinatal en la UCIN</t>
  </si>
  <si>
    <t>D172+A171 Mejorar la respuesta de la institución ante contingencia por sobreocupacion y/o eventualidades relacionadas con el talento humano</t>
  </si>
  <si>
    <t>D173+A173 Fortalecimiento en la atencion y comunicación en la UCIN frente a los resultados de la encuesta de humanizacion</t>
  </si>
  <si>
    <t>D175+A174 Estudiar junto con el Area Administrativa la posibilidad de implementar de la consulta externa del recien nacido en el HUSRT por personal especialista de la UCIN</t>
  </si>
  <si>
    <t>CODIGO: OADS-F-40</t>
  </si>
  <si>
    <t>ESE HOSPITAL UNIVERSITARIO SAN RAFAEL TUNJA</t>
  </si>
  <si>
    <t>Identificación</t>
  </si>
  <si>
    <t>Análisis del riesgo inherente</t>
  </si>
  <si>
    <t>Evaluación del riesgo - Valoración de los controles</t>
  </si>
  <si>
    <t>Evaluación del riesgo - Nivel del riesgo residual</t>
  </si>
  <si>
    <t>Plan de Acción</t>
  </si>
  <si>
    <t>Proceso</t>
  </si>
  <si>
    <t>Subproceso</t>
  </si>
  <si>
    <t>Código del Riesgo</t>
  </si>
  <si>
    <t>Riesgo</t>
  </si>
  <si>
    <t>Causas</t>
  </si>
  <si>
    <t>Consecuencias</t>
  </si>
  <si>
    <t>Tipo de Riesgo</t>
  </si>
  <si>
    <t>Categoria del Riesgo</t>
  </si>
  <si>
    <t>Fuente de identificación del riesgo</t>
  </si>
  <si>
    <t>Sistema de gestión Afectado</t>
  </si>
  <si>
    <t>Clasificación del riesgo</t>
  </si>
  <si>
    <t>Factor del riesgo</t>
  </si>
  <si>
    <t>Frecuencia con la cual se realiza la actividad</t>
  </si>
  <si>
    <t>Probabilidad</t>
  </si>
  <si>
    <t>Impacto</t>
  </si>
  <si>
    <t>Zona de riesgo inherente</t>
  </si>
  <si>
    <t>No. Control</t>
  </si>
  <si>
    <t>Descripción del Control</t>
  </si>
  <si>
    <t>Afectación</t>
  </si>
  <si>
    <t>Atributos</t>
  </si>
  <si>
    <t>%</t>
  </si>
  <si>
    <t xml:space="preserve">Zona de Riesgo del control </t>
  </si>
  <si>
    <t>Zona de riesgo residual</t>
  </si>
  <si>
    <t>Tratamiento</t>
  </si>
  <si>
    <t>Responsable</t>
  </si>
  <si>
    <t>Fecha Implementación</t>
  </si>
  <si>
    <t>Fecha Seguimiento</t>
  </si>
  <si>
    <t>Producto final</t>
  </si>
  <si>
    <t>Estado</t>
  </si>
  <si>
    <t>Tipo</t>
  </si>
  <si>
    <t>Implementación</t>
  </si>
  <si>
    <t>Calificación</t>
  </si>
  <si>
    <t>Documentado</t>
  </si>
  <si>
    <t>Frecuencia</t>
  </si>
  <si>
    <t>Evidencia</t>
  </si>
  <si>
    <t>Soporte Evidencia</t>
  </si>
  <si>
    <t>Gestión de direccionamiento estratégico y humanización</t>
  </si>
  <si>
    <t>Gerencia</t>
  </si>
  <si>
    <t>GDEH-RG-01</t>
  </si>
  <si>
    <t xml:space="preserve">Posibilidad de sanciones administrativas y disciplinarias debido al incumplimiento de las metas establecidas frente a la planeación estratégica por falta de seguimiento </t>
  </si>
  <si>
    <t>Sanciones administrativas y disciplinarias</t>
  </si>
  <si>
    <t>Riesgo de gestión</t>
  </si>
  <si>
    <t>Riesgo operacional</t>
  </si>
  <si>
    <t>Caracterización</t>
  </si>
  <si>
    <t>NA</t>
  </si>
  <si>
    <t>Ejecucion y Administracion de procesos</t>
  </si>
  <si>
    <t>Procesos</t>
  </si>
  <si>
    <t>El riesgo afecta la imagen de de la entidad con efecto publicitario sostenido a nivel de sector administrativo, nivel departamental o municipal</t>
  </si>
  <si>
    <t>El profesional de planeación realiza seguimiento a planes operativos, trimestralmente mediante el  formato OADS-F-03 Plan Operativo por Procesos y utilizando la herramienta formato OADS-F-35 Matriz seguimiento indicadores Plan de Desarrollo, si se requiere se generan actas de compromisos en formaro CA-F-18</t>
  </si>
  <si>
    <t>Preventivo</t>
  </si>
  <si>
    <t>Manual</t>
  </si>
  <si>
    <t>Continua</t>
  </si>
  <si>
    <t>Con Registro</t>
  </si>
  <si>
    <t>Reducir (Mitigar)</t>
  </si>
  <si>
    <t>Creación e implementación de Plan de desarrollo y planes operativos anuales</t>
  </si>
  <si>
    <t>Referente de Planeación</t>
  </si>
  <si>
    <t>Semestral</t>
  </si>
  <si>
    <t>Plan de desarrollo aprobado y planes operativos anuales</t>
  </si>
  <si>
    <t>En curso</t>
  </si>
  <si>
    <t>Desarrollo de servicios</t>
  </si>
  <si>
    <t>GDEH-RG-02</t>
  </si>
  <si>
    <t>Posibilidad de sanciones administrativas  debido al incumplimiento de las politicas de gestión y desempeño institucional por falta de implementación y seguimiento</t>
  </si>
  <si>
    <t>Falta de seguimiento de politicas de gestión y desempeño institucional</t>
  </si>
  <si>
    <t xml:space="preserve"> Sanciones Administrativas </t>
  </si>
  <si>
    <t>El riesgo afecta la imagen de la entidad con algunos usuarios de relevancia frente al logro de los objetivos</t>
  </si>
  <si>
    <t>El profesional de Planeación realiza trimestralmente seguimiento a Planes de acción de las politicas de MIPG,  mediante el  Formato OADS-F-20 PLAN INSTITUCIONAL / ESTRATEGICO  y consolida trimestralmente informe de seguimiento</t>
  </si>
  <si>
    <t>Documentar Manual de modelo integrado de planeación y gestión institucional</t>
  </si>
  <si>
    <t>Manual documentado y aprobado</t>
  </si>
  <si>
    <t>GDEH-RG-03</t>
  </si>
  <si>
    <t>Posibilidad de incumplimiento en las líneas estratégicas del DOFA institucional por falta de implementación y seguimiento</t>
  </si>
  <si>
    <t>Falta de implementación y seguimiento</t>
  </si>
  <si>
    <t>Incumplimientos en ejecución de las actividades y generacion de no conformidades</t>
  </si>
  <si>
    <t>Salidas No Conformes</t>
  </si>
  <si>
    <t>SGC PMC</t>
  </si>
  <si>
    <t xml:space="preserve">El profesional de planeación realiza informe trimestral del seguimiento a la Planeación Estratégica DOFA Institucional  mediante el formato ODAS-F-38 Instrumento de Planeación </t>
  </si>
  <si>
    <t>GDEH-RG-04</t>
  </si>
  <si>
    <t>Posibilidad de Sanciones administrativas por incumplimiento a la resolución 1519 de 2020 debido a falta de entrega de información por parte de los procesos a gestión de sistemas de información y comunicaciones.</t>
  </si>
  <si>
    <t xml:space="preserve"> Sanciones administrativas</t>
  </si>
  <si>
    <t>Auditorías</t>
  </si>
  <si>
    <t>Usuarios, productos y practicas , organizacionales</t>
  </si>
  <si>
    <t>El riesgo afecta la imagen de alguna área de la organización</t>
  </si>
  <si>
    <t xml:space="preserve">El líder del proceso cuando se requiera envia por correo electronico las modificación de la información de la resolución 1519  de 2020 teniendo en cuenta el formato S-F-37 ESQUEMA DE PUBLICACIÓN DE INFORMACIÓN </t>
  </si>
  <si>
    <t>GDEH-RG-05</t>
  </si>
  <si>
    <t>Posibilidad de sanciones por incumplimiento a la normatividad vigente por desconocmiento de la circular externa</t>
  </si>
  <si>
    <t>Sanciones</t>
  </si>
  <si>
    <t>Normatividad Externa</t>
  </si>
  <si>
    <t>Gestión de QHSE</t>
  </si>
  <si>
    <t>Gestión de calidad</t>
  </si>
  <si>
    <t>GC-RG-01</t>
  </si>
  <si>
    <t>Posibles sanciones o cierre de servicios asociado al incumplimiento de los estándares de habilitación de la resolución vigente por no llevar autoevaluación de los mismos</t>
  </si>
  <si>
    <t>Sanciones o cierre de servicios
Incumplimiento de las metas institucionales</t>
  </si>
  <si>
    <t>El referente de habilitación de acuerdo a cronograma realiza rondas de verificación de servicios por medio de la lista de verificación condiciones de habilitación del modulo de habilitación del sistema de informaciónn DARUMA y presenta informe de verificación condiciones de habilitación</t>
  </si>
  <si>
    <t>El referente de habilitación anualmente realiza autoevaluación en plataforma REPS de acuerdo a la resolución 3100 de 2019 y normatividad  que la modifique</t>
  </si>
  <si>
    <t xml:space="preserve">El referente de docencia servicio realiza verificación semestral de cumplimiento de requisitos de los convenios suscritos mediante el formato GAC-F-12  teniendo en cuenta el procedimiento GAC-PR-05 CONDICIONES Y SEGUMIENTO CONTRAPRESTACIÓN UNIVERSIDADES E INSTITUCIONES EN CONVENIO </t>
  </si>
  <si>
    <t>GC-RG-02</t>
  </si>
  <si>
    <t>Posibilidad de sanciones debido al reporte extemporaneo de información legal a entes de inspeccion vigilancia y control frente, Resolución 256 de 2016, resolución 1552 de 2013, Decreto 2193 tabla de calidad, producción y esolución 1519 de 2020</t>
  </si>
  <si>
    <t xml:space="preserve">Sanciones </t>
  </si>
  <si>
    <t>Ejecucion y Administracion de procesos
Usuarios, productos y practicas , organizacionales</t>
  </si>
  <si>
    <t>El Referente de sistema de informacion (SIC) mensualmente consolida los datos de la información de las tablas de estadistica mensual teniendo en cuenta el procedimiento S-INS-16 instructivo de generacion reporte 2193 SERVINTE</t>
  </si>
  <si>
    <t>Tabla de calidad de decreto 2193 de 2016</t>
  </si>
  <si>
    <t>El Referente de sistema de informacion (SIC) trimestralmente carga los datos correspondientes a la tabla de producción a la plataforma SIHO</t>
  </si>
  <si>
    <t>El Referente de sistema de informacion (SIC) trimestralmente descarga y valida los indicadores correspondientes a la tabla de calidad del sistema de información del DARUMA, para posterior cargue de la información en la plataforma SIHO</t>
  </si>
  <si>
    <t>El Profesional especializado de TIC, de manera mensualmente envia correos electronicos a las areas correspondientes , solicitando informacion de indicadores de la resolucion 1552 de 2013</t>
  </si>
  <si>
    <t>Correos enviados a las areas correspondientes .</t>
  </si>
  <si>
    <t xml:space="preserve">El Referente de sistema de informacion de calidad, mensualmente valida la calidad del dato de los indicadores de la resolucion 1552 de 2013,  envia por correo electronico las observaciones correspondientes. </t>
  </si>
  <si>
    <t>Correos enviados a las areas correspondientes.</t>
  </si>
  <si>
    <t>Referente de sistema de informacion de calidad, trimestralmente valida la calidad del dato de los indicadores de la resolucion 256 de 2016, Se envia por correo electronico las observaciones correspondientes.</t>
  </si>
  <si>
    <t>Profesional especialziado de TICS trimestralmente consolida,valida y carga a plataforma PISIS - SISPRO la informacion correspondiente a los indicadores de la resolucion 256 de 2016.</t>
  </si>
  <si>
    <t>Cargue exitoso del archivo 30-04-2024,31-07-2024,31-10-2024,30-01-2025</t>
  </si>
  <si>
    <t>El Profesional especializado de TIC, de manera mensual envia correos electronicos a las EAPB  los primeros 5 días mes vencido.</t>
  </si>
  <si>
    <t>GC-RG-03</t>
  </si>
  <si>
    <t>Posibilidad de no conformidades por la utilización de formatos desactualizados por falta de adherencia a la norma fundamental.</t>
  </si>
  <si>
    <t>No conformidades
Incumplimiento de metas institucionales</t>
  </si>
  <si>
    <t xml:space="preserve">El administrador del modulo de documentos del sistema de información DARUMA   realiza seguimiento mensual al estado de los documentos de la institución con el  fin de emitir alertas por correo electronico a los procesos que correspondan conforme a lo establecido en el procedimiento CA-PR-06 Control de Documentos </t>
  </si>
  <si>
    <t>Corrreos electrónicos de alerta y documentos vencidos</t>
  </si>
  <si>
    <t>El administrador del modulo de documentos del sistema de información DARUMA   realiza informe mensual a la ccoordinadora de calidad donde registra el consolidado del estado de los documentos</t>
  </si>
  <si>
    <t xml:space="preserve">Informe de estado de los documentos   </t>
  </si>
  <si>
    <t>Los profesionales del área de procesos prioritarios continuamente valida y verifica la estructura de los documentos  de acuerdo a los  lineamientos definidos en la norma fundamental CA-M-00, mediante las notas realizadas en el ciclo documental del sistema de información Daruma</t>
  </si>
  <si>
    <t>Pantallazo de las anotaciones de la revision documental en Daruma</t>
  </si>
  <si>
    <t>El administrador del modulo de documentos del sistema de información DARUMA  mensualmente reliza verificación al uso de formatos vigentes  a los procesos, se registra en informe ejecutivo</t>
  </si>
  <si>
    <t xml:space="preserve">CA-F-18 Acta de reunión </t>
  </si>
  <si>
    <t>GC-RG-04</t>
  </si>
  <si>
    <t>Posibilidad de incumplimiento de los objetivos misionales y metas del proceso debido a la falta de identificación, análisis y seguimiento de indicadores</t>
  </si>
  <si>
    <t>El referente de información (SIC) realiza seguimiento  trimestral al reporte oportuno, cumplimiento de metas e instauración de acciones de mejora de los indicadores activos en el sistema de información DARUMA</t>
  </si>
  <si>
    <t>Informe del ciclo de gestión de  indicadores del sistema de información DARUMA</t>
  </si>
  <si>
    <t>El referente de información (SIC) realiza trimestralmente auditoria  a la fuente de información y calidad del dato de los indicadores y lo registra en el formato CA-F-139 seguimiento a la calidad del registro de los indicadores en el software DARUMA.</t>
  </si>
  <si>
    <t>Formato CA- F-139 seguimiento a la calidad del registro de los indicadores en el software DARUMA.</t>
  </si>
  <si>
    <t>Posibilidad de ausencia de análisis de causas de los indicadores con desviaciones presentadas en el programa madre canguro ambulatorio e intrahospitalario por inadecuada identificación de causa raíz</t>
  </si>
  <si>
    <t>Ausencia en la adherencia del instructivo de gestion de indicadores cuando se presentan desviaiciones CA-INS-03</t>
  </si>
  <si>
    <t>El riesgo afecta la imagen de la entidad internamente, de conocimiento general, nivel interno, de junta dircetiva y accionistas y/o de provedores</t>
  </si>
  <si>
    <t>El referente de información (SIC) realiza seguimiento  trimestral al reporte oportuno, cumplimiento de metas e instauración de acciones de mejora de los indicadores activos en el sistema de información DARUMA,  y los envia por correo electronico a los referentes de área.</t>
  </si>
  <si>
    <t>GC-RG-06</t>
  </si>
  <si>
    <t>Posibilidad de implicaciones legales y administrativas por falta de adherencia de las guias de practica clinica.</t>
  </si>
  <si>
    <t xml:space="preserve"> Implicaciones legales y administrativas</t>
  </si>
  <si>
    <t>El referente de procesos prioritarios trimestralmente valida informe de  adherencia de las guias de practica clinica, envia por correo electronico a los lideres de área.</t>
  </si>
  <si>
    <t>Los auditores de guias de practica clinica trimestralmente presentan el informe de adherencia de guias de practica clinica en comité de historia clinica</t>
  </si>
  <si>
    <t>Acta de comité de historia clinica.</t>
  </si>
  <si>
    <t>Seguridad y salud en el trabajo</t>
  </si>
  <si>
    <t>SST-RG-01</t>
  </si>
  <si>
    <t>Posibilidad de sanciones administrativas por incumplimiento a los requisitos legales por falta de articulación con los contratistas tercerizados.</t>
  </si>
  <si>
    <t>Sanciones legales</t>
  </si>
  <si>
    <t>SST</t>
  </si>
  <si>
    <t>El lider del sistema de seguridad y salud en el trabajo demanera trimestra realiza verificación de los requisitos legales en el formato SST-F-15 MATRIZ DE REQUISITOS LEGALES, teniendo en cuenta el procedimiento CA-PR-04  IDENTIFICACION Y EVALUACION DE REQUISITOS LEGALES</t>
  </si>
  <si>
    <t>Correctivo</t>
  </si>
  <si>
    <t xml:space="preserve"> SST-F-15 Matriz de requisitos legales</t>
  </si>
  <si>
    <t>SST-RG-02</t>
  </si>
  <si>
    <t>Accidentes de trabajo
Perdida de vidas
Enfermedades laborales
Ausentismo</t>
  </si>
  <si>
    <t xml:space="preserve">Los profesionales del sistema de seguridad y salud en el trabajo realizan inspecciones asociados a los programas de gestión de riesgo de acuerdo al cronogrma respectivo, se registra en el formato SST-F-86 CRONOGRAMA DE INSPECCIONES,  de acuerdo al procedimiento SST-PR-02  INSPECCIONES PLANEADAS DE LA SEGURIDAD Y SALUD EN EL TRABAJO
</t>
  </si>
  <si>
    <t>SST-RG-03</t>
  </si>
  <si>
    <t xml:space="preserve">Enfermedad laboral
Ausentismo
</t>
  </si>
  <si>
    <t>Los profesionales del sistema de seguridad y salud en el trabajo una vez tengan los resultados de las mediciones higienicas verifican los hallazgos y se proyecta plan de intervención.</t>
  </si>
  <si>
    <t xml:space="preserve">Los profesionales del sistema de seguridad y salud en el trabajo una vez tengan los resultados de las mediciones higienicas realizan seguimiento a la implementación del plan de intervención </t>
  </si>
  <si>
    <t>Plan de intervención formato 	SST-F-43 Plan De Trabajo Sistema De Seguridad Y Salud En El Trabajo</t>
  </si>
  <si>
    <t>SST-RG-04</t>
  </si>
  <si>
    <t>Posibilidad de inoportunidad, e inadecuada respuesta de eventos de emergencias por falta de capacitación.</t>
  </si>
  <si>
    <t>El coordinador de SST y el referente de emergencias según SST-F-43 PLAN DE TRABAJO SISTEMA DE SEGURIDAD Y SALUD EN EL TRABAJO,  realiza las capacitaciones de respuesta a emergencia interna y externa, se registra en TH-F-15  ASISTENCIA DE COLABORADORES A EVENTOS</t>
  </si>
  <si>
    <t>Gestión ambiental</t>
  </si>
  <si>
    <t>GA-RG-01</t>
  </si>
  <si>
    <t xml:space="preserve">Contaminación a recursos naturales (agua, suelo y aire)
Gereación de vectores y olores </t>
  </si>
  <si>
    <t>SGA</t>
  </si>
  <si>
    <t xml:space="preserve"> El profesional ambiental realiza trimestralmente Informe diagnostico de servicios de adherencia critica el cual se presenta a POA</t>
  </si>
  <si>
    <t xml:space="preserve">Informe diagnostico de servicios de adherencia critica </t>
  </si>
  <si>
    <t xml:space="preserve">El profesional ambiental realiza según cronograma  capacitaciones de Manejo Adecuado de Residuos generados por los servicios con actividades practicas y teoricas, el cual se evalua a traves de google forms., el cual alimenta el indicador de cobertura de capacitación el cul es enviado a talento humano trimestralmente. </t>
  </si>
  <si>
    <t>GA-RG-02</t>
  </si>
  <si>
    <t>El profesional ambiental  anualmente realiza  inventario de Gases refrigerantes de la institución , teniendo en cuenta GA-M-01  MANUAL DEL SISTEMA DE GESTION AMBIENTAL</t>
  </si>
  <si>
    <t xml:space="preserve">Contaminación de recursos naturales (atmosfericos)
Impacto en la biodiversidad y en la salud de los ecosistemas </t>
  </si>
  <si>
    <t>El profesional ambiental a necesidad entrega las etiquetas de sustancias quimicas  a los servicios registrando en google forms, teniendo en cuenta SST-M-05  MANUAL PARA EL PROGRAMA DE USO SEGURO DE PRODUCTOS QUIMICOS</t>
  </si>
  <si>
    <t xml:space="preserve"> El profesional ambiental realiza anualmente la identificación de las sustancias nuevas  suceptibles de reenvase  a traves de rodas en los servicios  teniendo en cuenta SST-M-05  MANUAL PARA EL PROGRAMA DE USO SEGURO DE PRODUCTOS QUIMICOS</t>
  </si>
  <si>
    <t>GA-RG-04</t>
  </si>
  <si>
    <t>Posibilidad de incumplimiento a requisitos legales por falta de articulación con los contratistas tercerizados</t>
  </si>
  <si>
    <t>Contaminación de recursos naturales
Incumplimientos legales</t>
  </si>
  <si>
    <t>El profesional ambiental  trimestralmente realiza seguimiento  a contratistas tercerizados y lo consolida en informe de adherencia al sistema de gestion ambiental, teniendo en cuenta SST-M-11 MANUAL DE EVALUACIÓN DE CONTRATISTAS Y/O SUBCONTRATISTAS</t>
  </si>
  <si>
    <t xml:space="preserve"> Informe de adherencia al sistema de gestion ambiental</t>
  </si>
  <si>
    <t>GA-RG-05</t>
  </si>
  <si>
    <t>Posibilidad de contaminación acuática por disposición inadecuada de residuos líquidos al vertimiento</t>
  </si>
  <si>
    <t>El profesional ambiental realiza anualmente inspecciones de gestion de los vertimientos a traves del formato GA-F-44 INSPECCIÓN BUENAS PRACTICAS Y MANEJO ADECUADO DEL VERTIMIENTO teniendo en cuenta GA-M-01  MANUAL DEL SISTEMA DE GESTION AMBIENTAL</t>
  </si>
  <si>
    <t xml:space="preserve"> GA-F-44 INSPECCIÓN BUENAS PRACTICAS Y MANEJO ADECUADO DEL VERTIMIENTO</t>
  </si>
  <si>
    <t xml:space="preserve">
El profesional ambiental anualmente contrata un analisis de los vertimientos mediante laboratorios certificados, el cual consolida la información en un informe</t>
  </si>
  <si>
    <t>Informe del contratista de  analisis de los vertimientos</t>
  </si>
  <si>
    <t>El profesional ambiental una vez recibe el informe por parte del contratista que realiza analisis de los vertimientos compara los resultados con la resolución 631 de 2015 y los años ateriores y genera informe, si algun parametro se desvia, se realiza plan de acción.</t>
  </si>
  <si>
    <t>Gestión del talento humano</t>
  </si>
  <si>
    <t>GTH-RG-01</t>
  </si>
  <si>
    <t>Posibilidad de trámites administrativos y costos adicionales innecesarios debido a Liquidación erronea de la nómina de personal.</t>
  </si>
  <si>
    <t xml:space="preserve">Trámites administrativos y costos adicionales innecesarios </t>
  </si>
  <si>
    <t>El profesional de nómina mensualmente registra las novedades  al sistema de información ADA SICOF.</t>
  </si>
  <si>
    <t>El profesional de nómina mensualmente realiza reporte preliminar y el coordinador de talento humano revisa nómina antes de generar archivos planos para enviar a tesoreria conforme indica el Procedimiento TH-PR-20 Liquidación de Nómina, reportes generados por medio del Software utilizado Ada Sicof</t>
  </si>
  <si>
    <t>Profesional Universitario talento humano mensualmente valida las  novedades de nómina (cuadros de turno, bonificaciones, horas extras, recargos, incapacidades etc) se encuentren debidamente autorizadas por los lideres y/o coordinadores, asi como la aprobación de supervisores del contrato correspondiente a la empresa de servicios temporales que suministra personal administrativo, mantenimiento y biomedica de la E.S.E. Hospital Universitario San Rafael de Tunja</t>
  </si>
  <si>
    <t xml:space="preserve">Profesional Universitario talento humano mensualmente realiza informe de auditoria conforme al procedimiento TH-PR-43 procedimieento supervison y revision de nomina trabajadores en mision </t>
  </si>
  <si>
    <t xml:space="preserve">Informe de Auditoria </t>
  </si>
  <si>
    <t>GTH-RG-02</t>
  </si>
  <si>
    <t>Posibilidad de pagos indebidos
o detrimento Patrimonial por aprobación de solicitudes de libranzas y descuentos por nómina que no cumplan con los requisitos exigidos para el personal de planta</t>
  </si>
  <si>
    <t>No adherencia al procedimiento para la autorización de libranzas TH-PR-13</t>
  </si>
  <si>
    <t>Pagos indebidos
o detrimento Patrimonial</t>
  </si>
  <si>
    <t>GTH-RG-03</t>
  </si>
  <si>
    <t>Posibilidad de incumplimiento de los objetivos de los procesos por falta de competencia del personal debido a un inadecuado proceso de inducción específica</t>
  </si>
  <si>
    <t>1. Perfiles con definición general en el Manual de funciones o anexo de perfiles
2. Desconocimiento del personal que ingresa a la institución
3. Inadecuada entrega de cargos por parte del personal saliente
4. Incumplimiento a la realización de inducción específica según procedimiento TH-PR-01</t>
  </si>
  <si>
    <t>Incumplimiento de los objetivos de los procesos</t>
  </si>
  <si>
    <t>GTH-RG-04</t>
  </si>
  <si>
    <t xml:space="preserve">El líder del proceso, cuando se requiera envia por correo electronico las modificación de la información de la resolución 1519  de 2020 teniendo en cuenta el formato S-F-37 ESQUEMA DE PUBLICACIÓN DE INFORMACIÓN </t>
  </si>
  <si>
    <t>Gestión de investigación e innovación</t>
  </si>
  <si>
    <t>GII-RG-01</t>
  </si>
  <si>
    <t>Posibilidad de pérdida de convenios docencia servicio por no cumplimiento de las actividades y obligaciones conjuntas de docencia-servicio</t>
  </si>
  <si>
    <t>Ausencia de seguimiento efectivo al cumplimiento de los convenios docencia - servicio</t>
  </si>
  <si>
    <t xml:space="preserve">Pérdida de convenios docencia servicio </t>
  </si>
  <si>
    <t>GII-RG-02</t>
  </si>
  <si>
    <t>Posibilidad de detrimento de la calidad formativa por falta de supervisión del anexo éecnico de rotación y planes de actividades</t>
  </si>
  <si>
    <t>Falta de seguimiento y supervisión
Incumplimiento a lineamientos normativos</t>
  </si>
  <si>
    <t>Detrimento de la calidad formativa</t>
  </si>
  <si>
    <t>El referente de docencia servicio mensualmente  supervisa el cumplimiento  anexos tecnicos a traves de los formatos GAC-F-27 REGISTRO DE NOTAS INTERNADO ROTATORIO y GAC-F-28 FORMATO MENSUAL DE EVALUACIÓN INTERNADO ROTATORIO, los cuales son analizados semestralmente y se registra en informe</t>
  </si>
  <si>
    <t>Posibilidad de sanciones administrativas por inoportunidad en el cobro de las contraprestaciones debido a la falta de gestión por parte del proceso de gestión academica.</t>
  </si>
  <si>
    <t>Sistema de información y atención al usuario</t>
  </si>
  <si>
    <t>SIAU-RG-01</t>
  </si>
  <si>
    <t>Posibilidad de perdida de credibilidad institucional por la insatisfacción del usuario en la atención</t>
  </si>
  <si>
    <t xml:space="preserve">Perdida de credibilidad institucional </t>
  </si>
  <si>
    <t>El equipo de SIAU  mide la satisfacción según muestra definida en el instructivo SIAU-INS-01 y según lo indicado en el Procedimiento SIAU-PR-10 Evaluación de la Satisfacción del usuario, aplicando las encuestas de evaluación de satisfacción a los usuarios en formato SIAU-F-25</t>
  </si>
  <si>
    <t xml:space="preserve">Actualizar el Procedimiento SIAU-PR-10 Evaluación de la Satisfacción del usuario </t>
  </si>
  <si>
    <t xml:space="preserve">Coordinador Apoyo Servicios de Salud </t>
  </si>
  <si>
    <t>Procedimiento Actualizado</t>
  </si>
  <si>
    <t>SIAU-RG-02</t>
  </si>
  <si>
    <t>Posibilidad de sanciones administrativas por  respuestas a quejas fuera de téminos debido a la inoportunidad en la respuesta  por parte de las áreas implicadas</t>
  </si>
  <si>
    <t xml:space="preserve">El lider del proceso involucrado, así como el líder de la oficina de SIAU y jurídica deberán dar respuesta a la queja instaurada según el trámite y tiempos de acuerdo a la resolucion 194 de 2018.
</t>
  </si>
  <si>
    <t>Diseñar, e implementar  formato para el  seguimiento y trazabilidad a los tiempos de respuesta estableccidoes en la resolución 194 de 2018</t>
  </si>
  <si>
    <t>Enero a diciembre</t>
  </si>
  <si>
    <t xml:space="preserve">Matriz de seguimiento </t>
  </si>
  <si>
    <t>SIAU-RG-03</t>
  </si>
  <si>
    <t>Enfermería</t>
  </si>
  <si>
    <t>ENF-RG-01</t>
  </si>
  <si>
    <t>Posibilidad de incumplimiento de los objetivos misionales y metas debido a la falta de identificación, análisis y seguimiento de indicadores</t>
  </si>
  <si>
    <t>Falta de capacitación, Falta de adherencia, Desmotivación</t>
  </si>
  <si>
    <t xml:space="preserve"> Incumplimiento de los objetivos misionales y metas</t>
  </si>
  <si>
    <t>El referente de información (SIC) realiza seguimiento  trimestral al reporte oportuno, cumplimiento de metas e instauración de acciones de mejora de los indicadores activos en el sistema de información DARUMA y los envia por correo a los referentes correspondientes</t>
  </si>
  <si>
    <t>ENF-RG-02</t>
  </si>
  <si>
    <t>Posibilidad de desviación en la prestación del servicio por la no actualización o ausencia de protocolos, planes de cuidado, manuales, procedimientos, formatos</t>
  </si>
  <si>
    <t>Debilidades de seguimiento y control por parte de los lideres de proceso en la actualización de documentos</t>
  </si>
  <si>
    <t>Desviación en la prestación del servicio</t>
  </si>
  <si>
    <t>El administrador del modulo de documentos del sistema de información DARUMA   realiza informe mensual donde registra el consolidado del estado de los documentos y envia por correo electronico a los lideres de las áreas correspondientes.</t>
  </si>
  <si>
    <t>Atención de urgencias</t>
  </si>
  <si>
    <t>Incumplimiento de los objetivos misionales y metas</t>
  </si>
  <si>
    <t>U-RG-01</t>
  </si>
  <si>
    <t>Posibilidad de desviación en la prestación del servicio por la no actualización o ausencia de protocolos, guías, procedimientos, formatos, manuales, guías</t>
  </si>
  <si>
    <t>Gestión clínica</t>
  </si>
  <si>
    <t>Posibilidad de desviación en la prestación del servicio por la no actualización o ausencia de protocolos, guías, procedimientos, formatos</t>
  </si>
  <si>
    <t>Gestión quirúrgica</t>
  </si>
  <si>
    <t>GQ-RG-01</t>
  </si>
  <si>
    <t>GQ-RG-02</t>
  </si>
  <si>
    <t xml:space="preserve">Desviación en la prestación del servicio </t>
  </si>
  <si>
    <t>Epidemiología y salud pública</t>
  </si>
  <si>
    <t>ESP-RG-01</t>
  </si>
  <si>
    <t>No ejecución de las acciones individuales</t>
  </si>
  <si>
    <t>Los enfermeros de salud pública diariamente realizan la busqueda de eventos a fin de identificarlo, notificarlo y realizar las acciones individuales para cada evento de acuerdo a lo establecido en el procedimiento VSP-PR-10 Búsqueda activa insititucional de eventos de interés de salud pública a través del formato  VSP-F-63 Búsqueda Activa Mensual</t>
  </si>
  <si>
    <t>Formato VSP-F-63 Búsqueda Activa Mensual</t>
  </si>
  <si>
    <t>Unidades de cuidados intensivos</t>
  </si>
  <si>
    <t>UCIs</t>
  </si>
  <si>
    <t>UCI-RG-01</t>
  </si>
  <si>
    <t>Posibilidad de incumplimiento en reporte oportuno, identificación, análisis y seguimiento de indicadores</t>
  </si>
  <si>
    <t>Falta de capacitación, Falta de adherencia, Falta horas administrativas para reporte</t>
  </si>
  <si>
    <t>Incumplimiento en reporte oportuno, identificación, análisis y seguimiento de indicadores</t>
  </si>
  <si>
    <t>UCI-RG-02</t>
  </si>
  <si>
    <t>Posibilidad de desviación en la prestación del servicio por la no actualización o ausencia de protocolos, guías, procedimientos, formatos, manuales</t>
  </si>
  <si>
    <t>Informe de estado de procesos</t>
  </si>
  <si>
    <t>Informe de actualización de guias de practica clinica</t>
  </si>
  <si>
    <t>Gestión farmacéutica</t>
  </si>
  <si>
    <t>Servicio farmacéutico</t>
  </si>
  <si>
    <t>SF-RG-01</t>
  </si>
  <si>
    <t>SF-RG-02</t>
  </si>
  <si>
    <t xml:space="preserve">Posibilidad de indecuada recepción tecnicoadministrativa de medicamentos, dispositivos medicos, materias primas, material de envase y gases medicinales por falta de adherencia al procedimiento </t>
  </si>
  <si>
    <t>Falta de adherencia al procedimiento SF-PR-28 RECEPCION TECNICO ADMINISTRATIVA DE MEDICAMENTOS, DISPOSITIVOS MEDICOS, MATERIAS PRIMAS, MATERIAL DE ENVASE Y GASES MEDICINALES</t>
  </si>
  <si>
    <t>El  regente de bodega, operario de mantenimiento, jefe de control de calidad de aire medicinal, verifica las condiciones de medicamentos, dispositivos medicos, materias primas, material de envase y gases medicinales a traves de los formatos SF-F-123  VERIFICACIÓN DE CONDICIONES DEL TRANSPORTE A LA ENTREGA DE PEDIDOS DE PROVEEDORES, SF-SAM-F-47  LISTA DE CHEQUEO DE TRANSPORTE DE GASES MEDICINALES, SF-F-124  LISTA DE CHEQUEO PARA NUTRICIONES PARENTERALES,-SF-F-26 ACTA DE RECEPCION TECNICO ADMINISTRATIVA,</t>
  </si>
  <si>
    <t>SF-RG-03</t>
  </si>
  <si>
    <t>Posibilidad de inadecuado almacenamiento de medicamentos y  dispositivos medicos por falta de adherencia a la resolución 1403 de 2007</t>
  </si>
  <si>
    <t>Falta de adherencia al procedimiento SF-PR-04 ALMACENAMIENTO DE MEDICAMENTOS Y DISPOSITIVOS MÉDICOS</t>
  </si>
  <si>
    <t xml:space="preserve">El regente de farmarcia mensualmente verifica los inventarios y fechas de vencimiento de medicamentos y dispostivos medicos a traves del formato SF-F-58 "Control de inventarios y fechas de vencimiento" </t>
  </si>
  <si>
    <t>SF-F-58 "Control de inventarios y fechas de vencimiento"</t>
  </si>
  <si>
    <t>El regente de farmacia mensualmente aplica el formato SF-F-90 EVALUACIÓN PARA  LA ADECUADA ADHERENCIA A LA RECEPCIÓN TÉCNICA  Y  ALMACENAMIENTO DE MEDICAMENTOS  Y DISPOSITIVOS MEDICOS EN SERVICIO FARMACÉUTICO</t>
  </si>
  <si>
    <t>SF-F-90 EVALUACIÓN PARA  LA ADECUADA ADHERENCIA A LA RECEPCIÓN TÉCNICA  Y  ALMACENAMIENTO DE MEDICAMENTOS  Y DISPOSITIVOS MEDICOS EN SERVICIO FARMACÉUTICO</t>
  </si>
  <si>
    <t>SF-RG-04</t>
  </si>
  <si>
    <t xml:space="preserve">Posibilidad de perdida de recursos economicos por vencimiento de medicamentos y dispositivos medicos </t>
  </si>
  <si>
    <t>La enfermera jefe durante la primera semana de cada mes verifica el estado actual de los medicamentos, dispositivos medicos (fecha de vencimiento, lote, y cantidad), la cual queda registrada en el formato SF-F-36 Y SF-F-38, teniendo en cuenta el procedimiento SF-PR-61 CUSTODIA, VERIFICACIÓN, USO Y REPOSICIÓN DEL CARRO DE PARO Y RESERVAS AUTORIZADAS</t>
  </si>
  <si>
    <t xml:space="preserve">Los regentes y tecnologos administrativos realizan los inventarios aleatorios mensualmente a traves del formato SF-F-58 "Control de inventarios y fechas de vencimiento", y los medicamentos y disposiivos medicos y notifica  a los proveedores respectivos para su devolución con el formato SF-F-23 DEVOLUCION DE MERCANCIA A PROVEEDORES
</t>
  </si>
  <si>
    <t>SF-RG-05</t>
  </si>
  <si>
    <t>Posibilidad de interrupción de tratamiento medico por desabastecimiento de medicamentos y o dispositivos medicos</t>
  </si>
  <si>
    <t>Desabastecimiento de medicamentos y o dispositivos medicos</t>
  </si>
  <si>
    <t>El director tecnico  de gestion farmaceutica a necesidad identifica la causa  del desabastecimiento y evalua las alternativas; solicitud de prestamo (oficio enviado a la entidad), cambio de alternativaa terapeutica (acta de reunión) o contrato de emergencia (C-F-35), para evitar el desabastecimiento de medicamentos y/o dispositivos medicos teniendo en cuenta el procedimiento SF-PR-23 Adquisición de mdicamentos y dispositivos medicos.</t>
  </si>
  <si>
    <t>SF-RG-06</t>
  </si>
  <si>
    <t>Posibilidad de efecto dañoso sobre bienes por pérdida, extravío, hurto, robo o faltantes pertenecientes a la entidad, a causa de la omisión en la aplicación del procedimiento. SF-PR-29 inventario fisico</t>
  </si>
  <si>
    <t>Riesgo fiscal</t>
  </si>
  <si>
    <t>Daños a activos fijos/ eventos externos</t>
  </si>
  <si>
    <t>El director tecnico  de gestion farmaceutica realiza semestralmente el inventario a las bodegas general de farmacia, dispensación, salas de cirugia y  bodega externa de farmacia a traves de las listas de conteo (generadas por servinte) y genera el informe de inventario fisico.</t>
  </si>
  <si>
    <t>SF-RG-07</t>
  </si>
  <si>
    <t>Posibilidad de perdidas economicas y calidad de los medicamentos por alteraciones en  la cadena de frío.</t>
  </si>
  <si>
    <t>El tecnologo de regencia de farmacia y/o la auxiliar de enfermería delegada en los servicios registra la temperatura de las neveras donde se encuentren medicamentos tres veces al día (10:00 am, 4.00 pm y 2:00 am) en el formato SF-F-32  CONTROL DE TEMPERATURA NEVERA DE MEDICAMENTOS</t>
  </si>
  <si>
    <t>SF-F-32  CONTROL DE TEMPERATURA NEVERA DE MEDICAMENTOS</t>
  </si>
  <si>
    <t>Apoyo a servicios de salud</t>
  </si>
  <si>
    <t>Consulta externa</t>
  </si>
  <si>
    <t>CE-RG-01</t>
  </si>
  <si>
    <t xml:space="preserve"> Insastisfacción del usuario, e incremento de PQRS </t>
  </si>
  <si>
    <t>Sin documentar</t>
  </si>
  <si>
    <t xml:space="preserve">Informe de demanda instisfecha </t>
  </si>
  <si>
    <t>CE-RG-02</t>
  </si>
  <si>
    <t>Posibilidad de  inconformidad de los usuarios por no asignación de citas medicas especializadas debido a la falta de agendas.</t>
  </si>
  <si>
    <t xml:space="preserve">Informe de HORAS CONTRATAS </t>
  </si>
  <si>
    <t>CE-RG-03</t>
  </si>
  <si>
    <t>Posibilidad de  inconformidad de los usuarios por no asignación de citas de consulta y procedimientos de ayuda diagnostica debido a la falta de agendas.</t>
  </si>
  <si>
    <t>CE-RG-04</t>
  </si>
  <si>
    <t xml:space="preserve">El líder de consulta externa, cuando se requiera envia por correo electronico las modificación de la información de la resolución 1519  de 2020 teniendo en cuenta el formato S-F-37 ESQUEMA DE PUBLICACIÓN DE INFORMACIÓN </t>
  </si>
  <si>
    <t>Programa madre canguro</t>
  </si>
  <si>
    <t>PMC-RG-01</t>
  </si>
  <si>
    <t>Posibilidad de demora en la atención o no atención del paciente por autorizaciones de pacientes de alojamiento conjunto emitidas por las EPS que no cumplen requisitos para el trámite de facturación dentro de HUSRT.</t>
  </si>
  <si>
    <t>Las Jefes de Enfermeria del PMC a necesidad realiza registro en el formato de captación en alojamiento conjunto CCN-F-35 las fechas de egreso de alojamiento conjunto y fecha de ingreso al PMC Ambulatorio teniendo en cuenta los lineamiientos del programa madre canguro en tiempo para la atención debe ser de maximo 48 horas posterior al egreso</t>
  </si>
  <si>
    <t>Formato CCN-F-35  REGISTRO MENSUAL CAPTACION PACIENTES DE PROGRAMA MADRE CANGURO EN ALOJAMIENTO CONJUNTO</t>
  </si>
  <si>
    <t>LB-RG-01</t>
  </si>
  <si>
    <t>El coordinador de laboratorio clincio realiza  semestralmente el inventario a las bodegas general de laboratorio clinico traves de las listas de conteo (generadas por servinte) y genera el informe de inventario fisico.</t>
  </si>
  <si>
    <t>Gestión juridica</t>
  </si>
  <si>
    <t>GJ-RG-01</t>
  </si>
  <si>
    <t xml:space="preserve">Incumplimiento de Términos Legales y eventuales desacatos o sanciones </t>
  </si>
  <si>
    <t>GJ-RG-02</t>
  </si>
  <si>
    <t>Inicio de acciones consitucionales</t>
  </si>
  <si>
    <t>El abogado designado por la oficina jurídica lleva trazabilidad diaria a través de la Matriz derechos de petición oficina Jurídica OAJ-F-07, frente a los términos de respuesta a derechos de petición de acuerdo a lo establecido en el procedimiento Respuesta a peticiones  OAJ-PR-17 y en la normatividad vigente</t>
  </si>
  <si>
    <t>GJ-RG-03</t>
  </si>
  <si>
    <t>Gestión financiera</t>
  </si>
  <si>
    <t>Tesorería</t>
  </si>
  <si>
    <t>Posibilidad de sanciones por incumplimiento en la legalización oportuna y/o inadecuado manejo de la caja menor</t>
  </si>
  <si>
    <t>Sanciones por incumplimiento</t>
  </si>
  <si>
    <t>TES-RG-01</t>
  </si>
  <si>
    <t>El Tesorero mensualmente realiza conciliación bancaria  con respecto a los pagos realizados durante el mes a fin de corrroborar lo valores pagados frente a las cuentas por pagar  el cual se registra en los formato AF-F-03 LIBRO DE BANCOS, EXTRACTOS BANCARIOS Y FORMATO AF-F-04 CONCILIACION BANCARIA teniendo en cuenta el procedimiento AF-PR-37 CONCILIACION DIARIA Y MENSUAL DE BANCO</t>
  </si>
  <si>
    <t>El tesorero mensualmente verifica que los pagos de nómina correspondan a lo liquidado por talento humano según lo descrito en el procedimiento AF-PR-39 dejando como registro acta de verificación</t>
  </si>
  <si>
    <t>TES-RG-02</t>
  </si>
  <si>
    <t>Posibilidad de Pérdida de recursos económicos y sanciones por debilidades en el manejo y custodia del efectivo</t>
  </si>
  <si>
    <t xml:space="preserve"> Pérdida de recursos económicos y sanciones</t>
  </si>
  <si>
    <t xml:space="preserve">El profesional universitario de tesoreria realiza arqueos diariamente a la caja general, el cual lo registra en el formato  A-F-01 Arqueo de caja  de acuerdo a lo establecido en el procedimiento AF-PR-08 </t>
  </si>
  <si>
    <t>El técnico administrativo de tesoreria diariamente garantiza un eficiente recuado producto de los diferentes pagos realizados con el fin de obtener información ágil y veraz de acuerdo a lo establecido en el procedimiento AF-PR-31  Recaudo de caja mediante los formatos AF-F-06 Boletín diario de caja y AF-F-05 Boletín de depositos</t>
  </si>
  <si>
    <t>TES-RG-03</t>
  </si>
  <si>
    <t>El tesorero diaria y mensualmente verifica los movimientos de egresos e ingresos y establece la depuración de las partidas conciliatorias de acuerdo a lo establecido en el procedimiento AF-PR-37 Conciliación diaria y mensual de bancos mediante el formato AF-F-03 Libro de bancos y el Formato AF-F-04 Libro de conciliaciones</t>
  </si>
  <si>
    <t>TES-RG-04</t>
  </si>
  <si>
    <t>Posibilidad de sanciones de los entes de control por no presentación adecuada de la información de los estados de tesoreria</t>
  </si>
  <si>
    <t xml:space="preserve">Sanciones de los entes de control </t>
  </si>
  <si>
    <t>El tesorero mensualmente realiza el movimiento de las transacciones finacieras por entidad bancaria de acuerdo al procedimiento AF-PR-10 Informes de Estado de Tesorería mediante el formato AF-F-20 Estado de Tesorería</t>
  </si>
  <si>
    <t>AF-F-20 Estado de Tesorería</t>
  </si>
  <si>
    <t>Presupuesto</t>
  </si>
  <si>
    <t>PRE-RG-01</t>
  </si>
  <si>
    <t>Inadecuada planeación de las áreas en las proyecciones de necesidades</t>
  </si>
  <si>
    <t>Iincapacidad financiera</t>
  </si>
  <si>
    <t>Riesgo de liquidez</t>
  </si>
  <si>
    <t>El coordinador financiero según lo definido en cronograma de planeación presupuestal,(CIRCULAR EMITIDA POR GERENCIA) recibe la necesidades remitidas por las areas las valida y consolida para remitir a las subgerencias respectivas a fin de aseguar que lo planeado por cada uno corresponda  a sus necesidades o identifiquen ajustes a realizar.</t>
  </si>
  <si>
    <t>Correos electrónicos de radicacion de necesidades en formato AF-F-19 PLANEACION NECESIDADES PRESUPUESTO SIGUIENTE VIGENCIA FISCAL.</t>
  </si>
  <si>
    <t>El coordinador financiero una vez al año consolida las necesidades de la insititución emitidas por cada proceso y subgerencia de acuerdo a lo establecido en el procedimiento AF-PR-01 Elaboración de presupuesto de ingresos y gastos a través del fotmato AF-F-19 Planeación de necesidades y las agrupa por rubros presupuestales y adelanta el proceso de priorizacion al presupuesto inicial proyectado.</t>
  </si>
  <si>
    <t>Proyecto de presupuesto inicial y justificacion económica.</t>
  </si>
  <si>
    <t>PRE-RG-02</t>
  </si>
  <si>
    <t>Sanciones por entes de control</t>
  </si>
  <si>
    <t>El profesional administrativo de presupuesto, según necesidad, verifica que la solicitud de expedición de CDP sea clara y objetiva y revisa que exista el rubro presupuestal conforme a lo definido en el Procedimiento AF-PR-02 Expedición de Certificado de Disponibilidad Presupuestal, en el evento que la solicitud no permita la identificación de rubro a afectar verifica la informacion contenida en los estudios previos formatos C-F-27 C-F-28.</t>
  </si>
  <si>
    <t>PRE-RG-03</t>
  </si>
  <si>
    <t xml:space="preserve">El lider del proceso cuando se requiera envia por correo electronico las modificación de la información de la resolución 1519  de 2020 teniendo en cuenta el formato S-F-37 ESQUEMA DE PUBLICACIÓN DE INFORMACIÓN </t>
  </si>
  <si>
    <t>Gestión de suministros y activos fijos</t>
  </si>
  <si>
    <t>GS-RG-01</t>
  </si>
  <si>
    <t xml:space="preserve">El coordinador de  almacén asigna un responsable a cada activo fijo nuevo que ingrese al Hospital, conforme a lo que establece la actividad 5 del procedimiento A-PR-05 Control y Registro de Activos Fijos mediante el formato A-F-02 Registro de activos fijos </t>
  </si>
  <si>
    <t>Formato A-F-02 Registro de activos fijos 
Informe Mensual de Registro de Activos Fijos a Contabilidad, Comprobantes de Egreso e Ingreso</t>
  </si>
  <si>
    <t>El tecnico de almacen realiza semestralmente rondas de verificacion de los activos a traves del formato A-F-04 para tener un mayor control de los activos fijos.</t>
  </si>
  <si>
    <t xml:space="preserve">Formato A-F-04 Planilla de inventario de activos fijos. </t>
  </si>
  <si>
    <t>GS-RG-02</t>
  </si>
  <si>
    <t xml:space="preserve">Posibidad de detrimento patrimonial, procesos disciplinarios, no  oportunidad en la prestaciòn del servicio por Falta de adherencia al procedimiento A-PR-06 Inventario Físco de Bodega 
</t>
  </si>
  <si>
    <t>Detrimento patrimonial, procesos disciplinarios,</t>
  </si>
  <si>
    <t>El coordinador de almacén realiza un control de inventarios físicos de bodega semestralmente de acuerdo a lo establecido en el Procedimiento A-PR-06 Inventario Físco de Bodega a través del formato A-F-17 Acta final de inventario y reporte de inventario de Servinte</t>
  </si>
  <si>
    <t>GS-RG-03</t>
  </si>
  <si>
    <t xml:space="preserve">Sanciones Disciplinarias, Pecuniarias </t>
  </si>
  <si>
    <t>El coordinador de almacen  quien es responsable de entregar información a contabilidad, mensulalmente envía por correo electrónico pantallazo de la interface, conforme  a lo establecido en la Resolución interna 048 de 2022</t>
  </si>
  <si>
    <t>Print del Pantallazo de la Interface generada en Sistema evidencia del envío de la información a contabiidad</t>
  </si>
  <si>
    <t>GS-RG-04</t>
  </si>
  <si>
    <t xml:space="preserve"> Posibilidad de afectación patrimonial por inadecuada valoración de activos o subestimación de pasivos y costos asociados a los mismos.</t>
  </si>
  <si>
    <t>Subestimación de los pasivos y de ls obligaciones fiancieras de la entidad</t>
  </si>
  <si>
    <t>Riego de mercado</t>
  </si>
  <si>
    <t>El riesgo afecta la imagen de la entidad a nivel nacional, con efecto publicitarios sostenible a nivel país</t>
  </si>
  <si>
    <t xml:space="preserve">El coordinador de almacen asigna un responsable a cada activo fijo nuevo que ingrese al Hospital, conforme a lo que establece la actividad 5 del procedimiento A-PR-05 Control y Registro de Activos Fijos mediante el formato A-F-02 Registro de activos fijos </t>
  </si>
  <si>
    <t>El coordinador de almacen busca tener un control de los activos fijos realizando  rondas de verificacion de los activos a traves del formato A-F-04 Falta periodicidad</t>
  </si>
  <si>
    <t>GS-RG-05</t>
  </si>
  <si>
    <t>Posibilidad de efecto dañoso sobre bienes por pérdida, extravío, hurto, robo o declaratoria de bienes muebles faltantes pertenecientes a la entidad, a causa de la omisión en la aplicación del procedimiento A-PR-05 Control de registro de activos.</t>
  </si>
  <si>
    <t xml:space="preserve"> Omisión en la aplicación del procedimiento A-PR-05 Control de registro de activos.</t>
  </si>
  <si>
    <t>El coordinador de almacén asigna un responsable a cada activo fijo nuevo que ingrese al Hospital, conforme a lo que establece la actividad 5 del procedimiento A-PR-05 Control y Registro de Activos Fijos mediante el formato A-F-02 Registro de activos fijos falta periodicidad</t>
  </si>
  <si>
    <t>GS-RG-06</t>
  </si>
  <si>
    <t>Posibilidad de efecto dañoso sobre bienes por pérdida, extravío, hurto, robo o faltantes pertenecientes a la entidad, a causa de la omisión en la aplicación del procedimiento. A-PR-06 inventario fisico bodega</t>
  </si>
  <si>
    <t>Falta de adherencia procedimiento   A-PR-06 inventario fisico bodega</t>
  </si>
  <si>
    <t>El coordinador del área de almacén realiza un control de inventarios físicos de bodega semestralmente de acuerdo a lo establecido en el Procedimiento A-PR-06 Inventario Físco de Bodega a través del formato A-F-17 Acta final de inventario y reporte de inventario de Servinte</t>
  </si>
  <si>
    <t>Gestión de contratación</t>
  </si>
  <si>
    <t>C-RG-01</t>
  </si>
  <si>
    <t xml:space="preserve"> Sanciones fiscales, disciplinarios</t>
  </si>
  <si>
    <t xml:space="preserve">El coordinador de contratación, mensualmente realiza el seguimento el  a la rendición  de contratos en contraloria  plataforma SIA OBSERVA, y emite oficio   con  la relacion de contrtos suscritos en el periodo dirigido a Procuraduria Regional,   Realiza publicación de contratos en SECOP II Y pagina WEB institucional </t>
  </si>
  <si>
    <t>C-RG-02</t>
  </si>
  <si>
    <t>Posibilidad de Sanciones Disciplinarias, fiscales y penales,
detrimento patrimonial debido al incumplimiento de requisitos establecidos en el manual de contratación</t>
  </si>
  <si>
    <t>Sanciones Disciplinarias, fiscales y penales,</t>
  </si>
  <si>
    <t>C-RG-03</t>
  </si>
  <si>
    <t>Posibilidad de afectación de la proyección del presupuesto e inadecuada ejecución del contrato por incorrecta formulación de los estudios previos de conveniencia y oportunidad</t>
  </si>
  <si>
    <t>Afectación de la proyección del presupuesto.  Ocurrencia de desequilibrio</t>
  </si>
  <si>
    <t>Los líderes de proceso al elaborar  estudio de conveniencia y oportunidad, realizan  estudio  de mercado  cumpla con el lleno de requisitos de su elaboración de acuerdo a lo establecido en el manual de contratación mediante lo formatos C-F-27 y C-F-28 dependiendo de la modalidad de contratación</t>
  </si>
  <si>
    <t>C-RG-04</t>
  </si>
  <si>
    <t>Posibilidad de demoras en el perfeccionamiento del contrato  dentro de los tiempos señalados por cambios de las condiciones inciiales propuestas por parte del proveedor</t>
  </si>
  <si>
    <t xml:space="preserve">Demoras en el perfeccionamiento del contrato </t>
  </si>
  <si>
    <t>El técnico de contratación según necesidad realiza seguimiento a la firma de los contratos de acuerdo a lo establecido en la resolución 173 de 2021 donde se adopta Manual de contratación a través de de correos electrónicos</t>
  </si>
  <si>
    <t>C-RG-05</t>
  </si>
  <si>
    <t>Posibilidad de efecto dañoso sobre recursos públicos por la ejecución de un alcance inferior al contratado y pago total del contrato, a causa de las deficiencias en las funciones de Supervisión e Interventoría de los contratos de la Entidad</t>
  </si>
  <si>
    <t>El supervisor o interventor del proceso a necesidad revisa y avala las actividades que realizan los contratistas, conforme al objeto contractual y especificaciones técnicas dando cumplimiento estricto al  Manual de supervisión e interventori, el cual lo registra en el formato C-F-04 Informe de supervisión.</t>
  </si>
  <si>
    <t>Listado de contratos, Informes de supervisión, documentos de ejecución del contrato.</t>
  </si>
  <si>
    <t>C-RG-06</t>
  </si>
  <si>
    <t xml:space="preserve">Solicitud incompleta de documentación para elaborar minuta </t>
  </si>
  <si>
    <t>Inoportunidad en la atención del paciente</t>
  </si>
  <si>
    <t>Revisión por la Dirección</t>
  </si>
  <si>
    <t xml:space="preserve">El profesional del proceso de gestion de Talento Humano cuando se requiera Verifica que la carpeta contractual cuente con el formato TH-F-45 Verificación requisitos hoja de vida y habilitación </t>
  </si>
  <si>
    <t xml:space="preserve">Formato TH-F-45 Verificación requisitos hoja de vida y habilitación </t>
  </si>
  <si>
    <t>El profesional del proceso de gestion de contratación cuando requiera realiza Verificacion de Lista de Chequeo C-F-37 Lista de chequeo contrato de prestación de servicios</t>
  </si>
  <si>
    <t>Formato C-F-37 Lista de chequeo contrato de prestación de servicios</t>
  </si>
  <si>
    <t>C-RG-07</t>
  </si>
  <si>
    <t>Gestión documental</t>
  </si>
  <si>
    <t>GD-RG-01</t>
  </si>
  <si>
    <t xml:space="preserve">Incumplimiento de realizar Transferencias Documentales primarias </t>
  </si>
  <si>
    <t xml:space="preserve">El referente de gestión documental realiza visitas  mensuales de seguimieto a las unidades productoras de información paravalidar la correcta organización de los archivos y aplicación de tablas de retención documental para efectuar las transferencias documentales primarias y lo registra en el formato GD-F-30 Formato de visitas y seguimiento aplicación TRD
</t>
  </si>
  <si>
    <t>GD-F-30 Formato de visitas y seguimiento aplicación TRD</t>
  </si>
  <si>
    <t>El referente de gestión documental según GD-F-28  Formato decronograma de actividades  realiza  la trazabilidad de cumplimiento de ejecución de las tranferencias documentales primarias  a través del formato  GD-F-05 Formato unico de inventario y/o GD-F-29  FORMATO ÚNICO DE INVENTARIO DOCUMENTAL/HISTORIALES de acuerdo a lo establecido en el Procedimiento GD-PR-04- Transferencias documentales primarias, el cual genera un informe mensual de cumplimiento</t>
  </si>
  <si>
    <t>GD-RG-02</t>
  </si>
  <si>
    <t>Posibilidad de Sanciones Disciplinarias, Penales y Administrativas por la inoportunidad de la información y/o respuesta debido a la falta de seguimiento por parte de la oficina de correspondencia.</t>
  </si>
  <si>
    <t>El auxiliar administrativo de la oficina de correspondencia diariamente realiza la trazabilidad de recepción y distribución de documentos recepcionados en la oficina de correspondencia el cual lo registra en el formato GD-F-03  Formato de resgistro y radicación de correspondencia enviada  conforme a lo definido en los  los  Procedimientos GD-PR-07,  para no incurrir en incumplimientos de términos de respuesta</t>
  </si>
  <si>
    <t xml:space="preserve">El referente de gestión documental mensualmente descarga reporte del sistema de informacion ORFEO, y genera informe de consolidación de  tiempos de respuesta de la correspondencia </t>
  </si>
  <si>
    <t>GD-RG-03</t>
  </si>
  <si>
    <t>Operativo</t>
  </si>
  <si>
    <t>El referente de gestión documental mensualmente realiza visitas de seguimiento a las unidades productoras de información para validar la correcta aplicación de la TRD, lo registra en el formato GD-F- 30 Formato de visitas y seguimiento aplicación TRD y el formato GD-F-14 Auditoria implementación PGD y otros.</t>
  </si>
  <si>
    <t>El referente de gestión documental Anualmente  realiza auditorias  a la implementación del programa de gestión documental a las unidades productoras de información y lo registra en el formato  GD-F-14 Auditoria implementación PGD y otros.</t>
  </si>
  <si>
    <t>GD-RG-04</t>
  </si>
  <si>
    <t>Gestión de sistemas de información y comunicaciones</t>
  </si>
  <si>
    <t>Sistemas</t>
  </si>
  <si>
    <t>S-RG-01</t>
  </si>
  <si>
    <t xml:space="preserve"> Interrupción del servicio </t>
  </si>
  <si>
    <t>Fallas Tecnológicas</t>
  </si>
  <si>
    <t xml:space="preserve">El técnico de TI ejecuta, según  SN3000-PMH (Secretaría de Salud) Plan de mantenimiento a equipos de comunicaciones e informática  realiza los mantenimientos preventivos para equipos de computo, lo registra formato S-F-04 Mantenimiento preventivo de Hardware, S-F-05 Mantenimiento preventivo de Software y el S-F-06 Hoja de vida digital equipo de cómputo  y de comunicaciones  HRCATCH,  de acuerdo a lo establecido en el Procedimiento mantenimiento preventivo para equipos de computo y comunicación S-PR-10 </t>
  </si>
  <si>
    <t>Automático</t>
  </si>
  <si>
    <t>El lider de gestión de sistemas de información y comunicaciones Trimestralmente analiza el indicador 1224 Porcentaje de Ejecución de Plan de Mantenimiento Preventivo- TIC</t>
  </si>
  <si>
    <t>El lider de gestión de sistemas de información y comunicacione realiza mensualmente la supervisión a los contratos firmados que tiene la institución con proveedores de servicio de canal dedicado de internet a fin de que se garantice la conectividad en 99,7%, Contrato sistemas de información Servinte, Daruma, Sicof y Enterprise Imagine, Okorum y página web a través de informes de supervisión</t>
  </si>
  <si>
    <t>S-RG-02</t>
  </si>
  <si>
    <t>Bloqueo de los sistemas de información</t>
  </si>
  <si>
    <t>El profesional de TI y Técnico de TI según necesidad, realizan trazabilidad de los tiempos de uso y las actualizaciones de los equipos a través de las Hojas de vida de equipo y hoja de vida de sistemas de información a través de los formatos S-F-23 Inventario de servidores virtuales y S-F-48 formato inventario</t>
  </si>
  <si>
    <t>El Asesor de Desarrollo de Servicios y el profesional de TI realizan la supervisión a los contratos firmados que tiene la institución de soporte de los sistemas de información, contratos de compra de equipo para renovación, Contratos de repuestos a través de los informes de supervisión</t>
  </si>
  <si>
    <t>S-RG-03</t>
  </si>
  <si>
    <t>Posibilidad de Sanciones administrativas por incumplimiento a la resolución 1519 de 2020 debido a falta de cargue de información en la pagina web.</t>
  </si>
  <si>
    <t xml:space="preserve">El profesional de tecnologias de la información recibe a necesidad  la información por parte de los procesos y se carga en la pagina web, a demas de actualizar el link en el formato S-F-37 ESQUEMA DE PUBLICACIÓN DE INFORMACIÓN  </t>
  </si>
  <si>
    <t>CO-F-07 Comunicado de prensa, Print evidencia de publicación en medios de comunicación, oficio de rectificación.(en caso que aplique )</t>
  </si>
  <si>
    <t>Comunicaciones y medios</t>
  </si>
  <si>
    <t>CO-RG-01</t>
  </si>
  <si>
    <t>Pérdida de credibilidad del Hospital</t>
  </si>
  <si>
    <t>El líder de comunicaciones verifica que  la divulgación de comunicados de prensa en medios de comunicación externos sea acorde con la información emitida y lo aprobado por la institución según lo establecido en el Procedimiento  Divulgación de información a través de comunicado de prensa CO-PR-06  mediante el formato CO-F-07</t>
  </si>
  <si>
    <t>El líder de comunicaciones aprueba a necesidad  las comunicaciones internas, altavoces, registrados en los formatos CO -F-02 solicitud de piezas comunicativas, CO-F-03 formato de pubicación de contenido de voz CO-F-04 programación de mensajes institucionales altavoz teniendo encuenta el procedimiento CO-PR-01 comunicados internos.</t>
  </si>
  <si>
    <t>CO-RG-02</t>
  </si>
  <si>
    <t xml:space="preserve">El líder de comunicaciones cuando se requiera envia por correo electronico las modificación de la información de la resolución 1519  de 2020 teniendo en cuenta el formato S-F-37 ESQUEMA DE PUBLICACIÓN DE INFORMACIÓN </t>
  </si>
  <si>
    <t>Gestión tecnólogica</t>
  </si>
  <si>
    <t>GT-RG-01</t>
  </si>
  <si>
    <t>Posibilidad de presentarse Falla  en los equipos biomédicos asociados a operación indebida</t>
  </si>
  <si>
    <t xml:space="preserve"> Falla  en los equipos biomédicos</t>
  </si>
  <si>
    <t>Fallas Tecnologicas</t>
  </si>
  <si>
    <t>El líder de Biomédica mensualmente alimenta el indicador 549 Proporción de fallas asociadas a la inadecuada manipulación del equipo a través del software Daruma</t>
  </si>
  <si>
    <t>Indicador 549 Proporción de fallas asociadas a la inadecuada manipulación del equipo a través del software Daruma</t>
  </si>
  <si>
    <t>GT-RG-02</t>
  </si>
  <si>
    <t xml:space="preserve">Posibilidad de presentarse  Daño del equipo biomedico por causas externas </t>
  </si>
  <si>
    <t>Daño del equipo biomédicos</t>
  </si>
  <si>
    <t>El técnico biomédico realiza rondas de lunes a viernes   en los servicios a fin de identificar novedades en equipos y clasificar los requierimientos conforme lo establece el IB-PR-11 Procedimiento daño de equipo biomedico por mala manipulacion, mediante el formato IB-F-05 Reporte diario de fallas de equipo biomédico</t>
  </si>
  <si>
    <t>Reporte diario de fallas equipo Biomédico IB-F-05.</t>
  </si>
  <si>
    <t>GT-RG-03</t>
  </si>
  <si>
    <t>Posibilidad de efecto dañoso sobre bienes por pérdida, extravío, hurto, robo o faltantes pertenecientes a la entidad, a causa de la omisión en la aplicación del procedimiento.. A-PR-06 inventario fisico bodega</t>
  </si>
  <si>
    <t>El coordinador del  área de gestión tecnologicarealiza un control de inventarios físicos de bodega semestralmente de acuerdo a lo establecido en el Procedimiento A-PR-06 Inventario Físco de Bodega a través del formato A-F-17 Acta final de inventario y reporte de inventario de Servinte</t>
  </si>
  <si>
    <t>Gestión de servicios de apoyo</t>
  </si>
  <si>
    <t>GSA-RG-01</t>
  </si>
  <si>
    <t>Posibilidad de afectación en la prestacion del servicio  por incumplimiento a los manuales, protocolos, y procedimientos de las empresas de vigilancia, cocina, lavanderia y aseo</t>
  </si>
  <si>
    <t>El líder de Servicios de apoyo de acuerdo al planeador o cronograma establecido, realiza el seguimiento al servicio de alimentación a través de los formatos INT-F-09 Consolidado de cantidades alimentación INT-F-10 Resumen por área INT-F-11 Consolidado por centro de costo INT-F-12 Consolidado valores INT-F-13 Sabana facturación conteo dietas servicios  INT - F-15  lista de chequeo alimentación conforme a lo establecido en el procedimiento INT-PR-02 Seguimiento al Servicio de Seguridad y Vigilancia, Aseo y Desinfección, Alimentación y lavandería</t>
  </si>
  <si>
    <t>El líder de Servicios de apoyo de acuerdo al planeador o cronograma establecido, realiza el seguimiento al servicio de aseo y desinfección hospitalaria a través de los formatos INT-F-06- Lista chequeo aseo y desinfección, conforme a lo establecido en el procedimiento INT-PR-02 Seguimiento al Servicio de Seguridad y Vigilancia, Aseo y Desinfección, Alimentación y lavandería</t>
  </si>
  <si>
    <t>El líder de Servicios de apoyo de acuerdo al planeador o cronograma establecido, realiza el seguimiento al servicio vigilancia y seguridad privada a través del formato INT-F-07- Lista chequeo de seguridad y vigilancia, conforme a lo establecido en el procedimiento INT-PR-02 Seguimiento al Servicio de Seguridad y Vigilancia, Aseo y Desinfección, Alimentación y lavandería</t>
  </si>
  <si>
    <t>El líder de Servicios de apoyo de acuerdo al planeador o cronograma establecido, realiza el seguimiento al servicio lavanderia a través de los formatos INT-F-14-  control de recorrido de prendas limpias/servicio de lavanderia INT-F-16 Lista de chequeo de ropa hospitalaria, conforme a lo establecido en el procedimiento INT-PR-02 Seguimiento al Servicio de Seguridad y Vigilancia, Aseo y Desinfección, Alimentación y lavandería</t>
  </si>
  <si>
    <t>El líder de Servicios de Apoyo de acuerdo a periodicidad según ficha técnica realiza medición de los indicadores del proceso en modulo Daruma</t>
  </si>
  <si>
    <t>Gestión de mantenimiento</t>
  </si>
  <si>
    <t>GM-RG-01</t>
  </si>
  <si>
    <t>Posibilidad de sanciones disciplinarias por no ejecutar el Plan de Mantenimiento</t>
  </si>
  <si>
    <t xml:space="preserve">Sanciones disciplinarias </t>
  </si>
  <si>
    <t xml:space="preserve">El líder de mantenimiento elabora el plan de mantenimiento preventivo  según  cronograma  SN 3000  PMH plan de mantenimiento Hospitalario, y ejecuta dejando registro en losl formatos: MAN-F-17 Reporte de mantenimiento, MAN-F-10  lista de chequeo mantenimiento preventivo , MAN-F-14hoja de vida equipo , MAN-F-19:bitacora reporte de mantenimiento. deacuerdo a lo establecido en el  Procedimiento Mantenieminto Preventivo a la Infaestructura y Dotación MAN-PR-01  </t>
  </si>
  <si>
    <t>El líder de mantenimiento semestralmente elabora informe a los entes de control internos y externos deacuerdo a lo establecido en el  Procedimiento Mantenieminto Preventivo a la Infaestructura y Dotación MAN-PR-01</t>
  </si>
  <si>
    <t>El coordinador del  área de mantenimiento realiza un control de inventarios físicos de bodega semestralmente de acuerdo a lo establecido en el Procedimiento A-PR-06 Inventario Físco de Bodega a través del formato A-F-17 Acta final de inventario y reporte de inventario de Servinte</t>
  </si>
  <si>
    <t>Gestión administrativa</t>
  </si>
  <si>
    <t>Auditoria de cuentas medicas</t>
  </si>
  <si>
    <t>AM-RG-01</t>
  </si>
  <si>
    <r>
      <rPr>
        <b/>
        <sz val="10"/>
        <rFont val="Tahoma"/>
        <family val="2"/>
      </rPr>
      <t>Etapa Respuesta a Glosas</t>
    </r>
    <r>
      <rPr>
        <sz val="10"/>
        <rFont val="Tahoma"/>
        <family val="2"/>
      </rPr>
      <t xml:space="preserve">
Posibilidad de disminución en los ingresos por falta de seguimiento, debido a la extemporaneidad en la respuesta a glosa inicial</t>
    </r>
  </si>
  <si>
    <t>Disminución en los ingresos</t>
  </si>
  <si>
    <t>AM-RG-02</t>
  </si>
  <si>
    <t xml:space="preserve">No identificación de las causales de la glosa </t>
  </si>
  <si>
    <t>AM-RG-03</t>
  </si>
  <si>
    <r>
      <rPr>
        <b/>
        <sz val="10"/>
        <rFont val="Tahoma"/>
        <family val="2"/>
      </rPr>
      <t xml:space="preserve">Etapa Respuesta a devoluciones
</t>
    </r>
    <r>
      <rPr>
        <sz val="10"/>
        <rFont val="Tahoma"/>
        <family val="2"/>
      </rPr>
      <t xml:space="preserve">
Posibilidad de No reconocimiento de los servicios prestados debido a  Falta de gestión de cuentas devueltas </t>
    </r>
  </si>
  <si>
    <t>Gestión inoportuna a la devolución de cuentas.</t>
  </si>
  <si>
    <t xml:space="preserve">No reconocimiento de los servicios prestados </t>
  </si>
  <si>
    <t>AM-RG-04</t>
  </si>
  <si>
    <r>
      <rPr>
        <b/>
        <sz val="10"/>
        <rFont val="Tahoma"/>
        <family val="2"/>
      </rPr>
      <t xml:space="preserve">Etapa Conciliación de glosas
</t>
    </r>
    <r>
      <rPr>
        <sz val="10"/>
        <rFont val="Tahoma"/>
        <family val="2"/>
      </rPr>
      <t xml:space="preserve">
Posibilidad de demora en el flujo de recursos debido al no acuerdo de conciliación de glosas entre las partes por diferencia de conceptos</t>
    </r>
  </si>
  <si>
    <t xml:space="preserve">Demora en el flujo de recursos </t>
  </si>
  <si>
    <t>Cartera</t>
  </si>
  <si>
    <t>CAR-RG-01</t>
  </si>
  <si>
    <t>Posibilidad de disminución en el flujo de recursos por el no cumplimiento del cobro del 50% de la facturación radicada en el mes anterior</t>
  </si>
  <si>
    <t>Disminución en el flujo de recursos</t>
  </si>
  <si>
    <t>CAR-RG-02</t>
  </si>
  <si>
    <t>CAR-RG-03</t>
  </si>
  <si>
    <t>Posibilidad de disminución en el flujo de recursos debido al crecimiento en el monto y edad de la cartera</t>
  </si>
  <si>
    <t>CAR-RG-04</t>
  </si>
  <si>
    <t>Pérdida de confiabilidad en la información</t>
  </si>
  <si>
    <t>CAR-RG-05</t>
  </si>
  <si>
    <t xml:space="preserve">Posibilidad de Pérdida de recursos economicos por no presentar  acreencia en debida forma </t>
  </si>
  <si>
    <t>Pérdida de cartera</t>
  </si>
  <si>
    <t>CAR-RG-06</t>
  </si>
  <si>
    <t>Estados de resultados no confiables (no revelen la realidad)</t>
  </si>
  <si>
    <t>Autorizaciones</t>
  </si>
  <si>
    <t>AU-RG-01</t>
  </si>
  <si>
    <t>Posibilidad de generación de glosa o devolución de cuentas por falta de autorización de servicios debido al reporte inoportuno a las ERP</t>
  </si>
  <si>
    <t>No reporte oportuno a las diferentes entidades responsables de pago de los usuarios que ingresan a la institución.</t>
  </si>
  <si>
    <t>Generación de glosa o devolución de cuentas</t>
  </si>
  <si>
    <t>Facturación</t>
  </si>
  <si>
    <t>F-RG-01</t>
  </si>
  <si>
    <t xml:space="preserve">Generación de glosas o disminución de ingresos </t>
  </si>
  <si>
    <t>F-RG-02</t>
  </si>
  <si>
    <t xml:space="preserve">Posibilidad de Retraso en el pago de los servicios prestados por No  radicar el 100%  de la facturación generada por el  Hospital en un tiempo determinado  </t>
  </si>
  <si>
    <t xml:space="preserve"> Retraso en el pago de los servicios prestados </t>
  </si>
  <si>
    <t>F-RG-03</t>
  </si>
  <si>
    <t>Posibilidad de no reconocimiento de la factura por parte de la ERP  debido a la no obtención del radicado individual de las facturas</t>
  </si>
  <si>
    <t>Las facturas que son enviadas por correo certificado a las ERP no se logra obtener el radicado individual.</t>
  </si>
  <si>
    <t>No reconocimiento de la factura por parte de la ERP</t>
  </si>
  <si>
    <t>F-RG-04</t>
  </si>
  <si>
    <t>Pérdida de recursos económicos</t>
  </si>
  <si>
    <t>Codificar planilla de inconsistenmcias de ingresos de pacientes.</t>
  </si>
  <si>
    <t>coordinador de facturacion</t>
  </si>
  <si>
    <t>formato codificado</t>
  </si>
  <si>
    <t>Gestión comercial</t>
  </si>
  <si>
    <t>Posibilidad de realizar contratos Presupuesto Global Pespectivo (PGP ) en las empresas responsables de pago que afecten la operación corriente de la entidad por desconocimiento de la población usuaria a atender.</t>
  </si>
  <si>
    <t>Documetar procedimiento de contratación  y venta de servicios de salud.</t>
  </si>
  <si>
    <t>Coordinador de comercial y cotratación de servicios de salud.</t>
  </si>
  <si>
    <t>Procedimiento actualizado</t>
  </si>
  <si>
    <t>Control interno</t>
  </si>
  <si>
    <t>CI-RG-01</t>
  </si>
  <si>
    <t>Sanciones administrativas</t>
  </si>
  <si>
    <t>Ejecución y Administración de procesos</t>
  </si>
  <si>
    <t xml:space="preserve">El profesional Universitario identifica semestralmente la información relevante y pertinente referente a:  informes periódicos, Requerimientos de órganos de control, del proceso y por normatividad, el cual se consolidara en el formato OACI-F-11 Inventario de Presentación de Informes a los Entes Externos de Obligatorio Cumplimiento </t>
  </si>
  <si>
    <t xml:space="preserve">Formato  OACI-F-11 Inventario de Presentación de Informes a los Entes Externos de Obligatorio Cumplimiento  </t>
  </si>
  <si>
    <t xml:space="preserve">El profesional universitario según plan de auditoria, semestralmente realiza seguimiento al cumplimiento de la oportuna entrega de los informes a entes externos en cumplimiento del procedimiento OACI-PR-08 Rendición de Informes a Entes Externos y mediante el  formato  OACI-F-11 Inventario de Presentación de Informes a los Entes Externos de Obligatorio Cumplimiento </t>
  </si>
  <si>
    <t>Formato  OACI-F-11 Inventario de Presentación de Informes a los Entes Externos de Obligatorio Cumplimiento con observaciones de seguimiento
Informe de seguimiento entes externos</t>
  </si>
  <si>
    <t>CI-RG-02</t>
  </si>
  <si>
    <t>Pérdida de credibilidad y confiabilidad de la OCI y Desviación  del sistema de control interno  por inexactitud  en la elaboración y presentación de los informes de auditoria debido a errores o inconsistencias durante  la evaluación de la efectividad de los controles del sistema de control interno</t>
  </si>
  <si>
    <t xml:space="preserve">Pérdida de credibilidad y confiabilidad de la OCI y Desviación  del sistema de control interno  </t>
  </si>
  <si>
    <t>El jefe de control interno según Plan Anual de auditoria valida  el Plan de Auditorias para constatar que el objetivo, alcance y criterios definidos son pertinentes y cumplen con las características establecidas en el Manual de auditoria  OACI-M-01 .En caso de que el Plan no cumpla con alguna pauta, el jefe de control interno lo devuelve al equipo auditor para su ajuste respectivo y posterior aprobación, de acuerdo a lo establecido en el procedimiento Realización de auditorias internas OACI-PR-02 el cual se debe  diligenciar en el formato Plan de auditoria OACI-F-04.</t>
  </si>
  <si>
    <t>El jefe de control interno según plan de auditoria  revisa el informe preliminar antes de ser enviado al líder del proceso y/o grupos de valor correspondientes con el propósito de asegurar la entrega de informes precisos, objetivos, claros, concisos, constructivos, completos y oportunos, en cumplimiento del procedimiento auditoria interna, informe preliminar OACI-F-17</t>
  </si>
  <si>
    <t>El jefe de control interno según plan de auditoria  revisa el informe  final de auditoría para constatar que las observaciones de los auditados fueron analizadas por el equipo auditor, verificara la redacción de hallazgos y observación y  procederá a radicar el informe definitivo en la gerencia. En cumplimiento a lo establecido en el Realización de auditorias internas OACI-PR-02, dejando evidencias en los formatos Informe final de Auditorias Cód.: OACI-F-16</t>
  </si>
  <si>
    <t>Riesgo de salud</t>
  </si>
  <si>
    <t>Ejecución y administración de procesos</t>
  </si>
  <si>
    <t xml:space="preserve">Riesgo de seguridad de la información. </t>
  </si>
  <si>
    <t>Peligros/Riesgos</t>
  </si>
  <si>
    <t>Fraude externo</t>
  </si>
  <si>
    <t>Detectivo</t>
  </si>
  <si>
    <t>Aleatoria</t>
  </si>
  <si>
    <t>Sin registro</t>
  </si>
  <si>
    <t>Reducir (Transferir)</t>
  </si>
  <si>
    <t>Finalizado</t>
  </si>
  <si>
    <t>Riesgo asistencial</t>
  </si>
  <si>
    <t>Riesgo actuarial</t>
  </si>
  <si>
    <t>Fraude interno</t>
  </si>
  <si>
    <t>Tecnología</t>
  </si>
  <si>
    <t>Aceptar</t>
  </si>
  <si>
    <t>Riesgo de lavado de activos, financiación del terrorismo y proliferación de armas de destrucción masiva. (SARLAF/PADM)</t>
  </si>
  <si>
    <t>Riesgo de crédito</t>
  </si>
  <si>
    <t>Seguridad del paciente</t>
  </si>
  <si>
    <t>Fallas tecnológicas</t>
  </si>
  <si>
    <t>Infraestructura</t>
  </si>
  <si>
    <t>Evitar</t>
  </si>
  <si>
    <t>Riesgo de corrupción, opacidad y fraude. (SICOF)</t>
  </si>
  <si>
    <t>Requisitos Legales / Otros requisitos</t>
  </si>
  <si>
    <t>Relaciones laborales</t>
  </si>
  <si>
    <t>Evento externo</t>
  </si>
  <si>
    <t>Compartir</t>
  </si>
  <si>
    <t>Matriz de partes interesadas</t>
  </si>
  <si>
    <t>Usuarios</t>
  </si>
  <si>
    <t>Clientes/Usuarios</t>
  </si>
  <si>
    <t>Riesgo contractual</t>
  </si>
  <si>
    <t>Productos/Servicios</t>
  </si>
  <si>
    <t>Riesgo clínico</t>
  </si>
  <si>
    <t>Legal</t>
  </si>
  <si>
    <t>Canales de distribución</t>
  </si>
  <si>
    <t xml:space="preserve">Aseguramiento </t>
  </si>
  <si>
    <t>Riesgo contable</t>
  </si>
  <si>
    <t>Financiero</t>
  </si>
  <si>
    <t>Jurisdicciones</t>
  </si>
  <si>
    <t>Trabajo social</t>
  </si>
  <si>
    <t>Contrapartes</t>
  </si>
  <si>
    <t>Reputacional</t>
  </si>
  <si>
    <t>Contagio</t>
  </si>
  <si>
    <t>Referencia y contrareferencia</t>
  </si>
  <si>
    <t>Ataques externos</t>
  </si>
  <si>
    <t>Nutrición - Programa nutre</t>
  </si>
  <si>
    <t>Nutrición - Soporte nutricional</t>
  </si>
  <si>
    <t>Errores humanos</t>
  </si>
  <si>
    <t>Nutrición - Unidad preparación formulas nutricionales</t>
  </si>
  <si>
    <t>Eventos naturales</t>
  </si>
  <si>
    <t>Especialidades clínicas - Programa clínica de obesidad</t>
  </si>
  <si>
    <t>Especialidades clínicas - Programa de riesgo cardiovascular - amigos del corazón</t>
  </si>
  <si>
    <t>Especialidades clínicas -Hospitalización</t>
  </si>
  <si>
    <r>
      <t xml:space="preserve">Especialidades clínicas - </t>
    </r>
    <r>
      <rPr>
        <sz val="11"/>
        <color rgb="FFFF0000"/>
        <rFont val="Aptos Narrow"/>
        <family val="2"/>
        <scheme val="minor"/>
      </rPr>
      <t>Programa clínica de anticoagulación y hospital libre de trombosis</t>
    </r>
  </si>
  <si>
    <t>Especialidades clínicas -Programa de trombólisis</t>
  </si>
  <si>
    <t>Especialidades clínicas - Programa de rehabilitación cardiaca</t>
  </si>
  <si>
    <t>Especialidades clínicas - Programa de rehabilitación pulmonar</t>
  </si>
  <si>
    <t>Rehabilitación - Terapia respiratoria</t>
  </si>
  <si>
    <t>Rehabilitación - fisioterapia</t>
  </si>
  <si>
    <t>Rehabilitación - terapia de lenguaje</t>
  </si>
  <si>
    <t>Rehabilitación - Psicología</t>
  </si>
  <si>
    <t>Esterilización</t>
  </si>
  <si>
    <t>Salas de parto</t>
  </si>
  <si>
    <t>Salas de cirugía</t>
  </si>
  <si>
    <t>Especialidades quirúrgicas</t>
  </si>
  <si>
    <t>Cirugía vascular</t>
  </si>
  <si>
    <t>UCI Neonatal</t>
  </si>
  <si>
    <t>UCI Adultos</t>
  </si>
  <si>
    <t>UCI Pediátrica</t>
  </si>
  <si>
    <t>Buenas prácticas de Elaboración (BPE)</t>
  </si>
  <si>
    <t>Buenas prácticas de Manufactura (BPM)</t>
  </si>
  <si>
    <t>Programa Clínica de heridas, piel sana y terapia enterostomal</t>
  </si>
  <si>
    <t>Apoyo diagnóstico y complementación terapéutica - Gastroenterología</t>
  </si>
  <si>
    <t>Apoyo diagnóstico y complementación terapéutica - Radiología, imágenes diagnósticas e intervencionismo</t>
  </si>
  <si>
    <t>Apoyo diagnóstico y complementación terapéutica - Resonancia</t>
  </si>
  <si>
    <t>Apoyo diagnóstico y complementación terapéutica - Patología</t>
  </si>
  <si>
    <t>Apoyo diagnóstico y complementación terapéutica - Gestión pre. Transfuncional</t>
  </si>
  <si>
    <t>Historias clínicas</t>
  </si>
  <si>
    <t>PROBABILIDAD</t>
  </si>
  <si>
    <t>Muy Alta</t>
  </si>
  <si>
    <t>Extremo</t>
  </si>
  <si>
    <t>Alta</t>
  </si>
  <si>
    <t>Alto</t>
  </si>
  <si>
    <t>Media</t>
  </si>
  <si>
    <t>Medio</t>
  </si>
  <si>
    <t>Baja</t>
  </si>
  <si>
    <t>Bajo</t>
  </si>
  <si>
    <t>Muy Baja</t>
  </si>
  <si>
    <t>Leve</t>
  </si>
  <si>
    <t>Menor</t>
  </si>
  <si>
    <t>Moderado</t>
  </si>
  <si>
    <t>Mayor</t>
  </si>
  <si>
    <t>Catastrófico</t>
  </si>
  <si>
    <t>IMPACTO</t>
  </si>
  <si>
    <t>Tabla Criterios para definir el nivel de probabilidad</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</si>
  <si>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</si>
  <si>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</si>
  <si>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</si>
  <si>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</si>
  <si>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</si>
  <si>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Descripción</t>
  </si>
  <si>
    <t>Economica</t>
  </si>
  <si>
    <t xml:space="preserve">Afectación menor a 10 SMLMV </t>
  </si>
  <si>
    <t xml:space="preserve">Entre 10 y 50 SMLMV </t>
  </si>
  <si>
    <t xml:space="preserve">Entre 50 y 100 SMLMV </t>
  </si>
  <si>
    <t xml:space="preserve">Entre 100 y 500 SMLMV </t>
  </si>
  <si>
    <t xml:space="preserve">Mayor a 500 SMLMV </t>
  </si>
  <si>
    <t>1.Desconocimiento de la resolución 1519 de 2020
2.Falta de entrega de información por parte de los procesos a gestión de sistemas de información y comunicaciones</t>
  </si>
  <si>
    <t>1. Desconocimiento de la circular externa 2021170000004-5 de 2021 Supersalud.
2. Inhaderencia al manual de gestión de riesgos OADS-M-02</t>
  </si>
  <si>
    <t>1. No aplicación de las mecanismos de control establecidos para asegurar la implementación de los estandares de habilitación en los procesos institucionales.
2. Falta de adherencia a la resolución 3100 de 2019.
3. Inexistencia de procedimiento de autoevaluación del sistema único de habilitación.
4. No actualización o ausencia de protocolos, guías, procedimientos, formatos, manuales, guías</t>
  </si>
  <si>
    <t>1. Falta de adherencia de las guias de practica clinica.
2. Falta de registro en historia clinica</t>
  </si>
  <si>
    <t>1. Falta de articulación con los contratistas tercerizados.
2. Desconocimiento de normatividad legal</t>
  </si>
  <si>
    <t xml:space="preserve">1. Falta de capacitación
2. No asistencia  a las capacitaciones.
</t>
  </si>
  <si>
    <t>1. Inasistencia a capacitaciones y socializaciones realizadas por el área ambiental 
2. Falta de adherencia a protocolos de manejo de residuos peligrosos hospitalarios</t>
  </si>
  <si>
    <t xml:space="preserve">1. Uso de gases refrigerantes no permitidos por la norma 
2. Practicas inadecuadas al momento de realizar mantenimiento </t>
  </si>
  <si>
    <t xml:space="preserve">1. Desconocimiento de la normativa legal vigente 
2. Falta de adherencia programa de sustancias quimicas </t>
  </si>
  <si>
    <t xml:space="preserve">1. Ausencia de seguimiento a contratistas 
2. Falta de articulacion con contratistas </t>
  </si>
  <si>
    <t xml:space="preserve">1. Ampliacion de la infraestructura, causa incomodidad en los usuarios en cuanto acceso a la institución
2. El personal con el que cuenta el proceso no cubre los requerimientos a las necesidades de la poblaciòn atentida </t>
  </si>
  <si>
    <t xml:space="preserve">1. Estandarización del proceso y los continuos cambios de los procedimientos para tramitar respuesta.
2. Falta de compromiso del proceso implicado en la queja.
3. Incumplimiento de la normatividad </t>
  </si>
  <si>
    <t>1. Desconocimiento de la resolución 1519 de 2020
2. Falta de entrega de información por parte de los procesos a gestión de sistemas de información y comunicaciones</t>
  </si>
  <si>
    <t>1. Fallas en el sistema interno y externo (SIANIESP)
2. Errores en el diligenciamiento en la historia Clínica
3. Insufieciencia de personal para la busqueda activa de eventos</t>
  </si>
  <si>
    <t xml:space="preserve">1. Debilidades de seguimiento y control por parte de los lideres de proceso en la actualización de documentos
2. Falta de claridad en la política de uso de documentos a utilizar
3. Falta de horas administrativas para actualizar y socializar </t>
  </si>
  <si>
    <t>1. Ineficiente analsis de consumos historicos 
2. Falta de adherencia al procedimiento SF-PR-23  ADQUISION DE MEDICAMENTOS Y DISPOSITIVOS MEDICOS
3. Variables atipicas epidemiologicas que requieren necesidades especificas en los tratamientos.</t>
  </si>
  <si>
    <t xml:space="preserve">El director tecnico de gestion farmaceutica determina las necesidades del producto  a traves del listado basico  institucional (Servinte) y el historico de consumos y solicita los medicamntos, dispositivos medicos, teniendo en cuenta el Estudio previo de conveniencia y oportunidad segun la modalidad de contratacion y se registra en el formato C-F-31 Evaluación Técnica Definitiva
</t>
  </si>
  <si>
    <t>Posibilidad de insastisfacción del usuario, e incremento de PQRS por falta de acceso en la asignación de citas en consulta especializada en las especialidades de Endocrinología, Neurocirugía, Urología, Anestesia, Manejo del dolor, Neuropediatría, Neumología</t>
  </si>
  <si>
    <t>1. Falta de rondas de verificación de fechas de vencimiento
2. Rotación de medicamentos y / o dispositivos medicos
3. Falta de adherencia al procedimiento SF-PR-01 DEVOLUCION A PROVEEDORES
4. Por habilitacion se debe contar con un listado de medicamentos y dispositivos medicos los cuales son de caracter obligatorio dentro de los carros de paro.</t>
  </si>
  <si>
    <t>1. Alteración en la cadena de frio                                                                                                                                                                                                                                                                                                                                                                                                                                                                2. Falta de adherencia del procedimiento SF-PR-35 TRANSPORTE Y ALMACENAMIENTO DE MEDICAMENTOS DE CADENA DE FRIO
3. Inadecuado registro de la temperatura en las neveras de los servicios</t>
  </si>
  <si>
    <t>1. Alta demanda
2. Atención de usuarios de todo el departamento y departamentos circunvencinos, limitación en la red de las EPS, Preferencia del usuario por la isntitución</t>
  </si>
  <si>
    <t xml:space="preserve">El Coordiandor Apoyo de Servicios de Salud de manera trimestral realiza validación a la demanda insatisfecha de las especialidades  consulta especializada  de Endocrinología, Neurocirugía, Urología, Anestesia, Manejo del dolor, Neuropediatría, </t>
  </si>
  <si>
    <t xml:space="preserve">1. Alta demanda
2. Atención de usuarios de todo el departamento y departamentos circunvencinos, limitación en la red de las EPS, Preferencia del usuario por la isntitución
3. Poca oferta de especialistas 
4. Limitada red de las EPS en el Derpartamento </t>
  </si>
  <si>
    <t>1. Desconocimiento de la resolución 1519 de 2020
 2. Falta de entrega de información por parte de los procesos a gestión de sistemas de información y comunicaciones</t>
  </si>
  <si>
    <t>1. Baja adherencia de los requisitos emitidos por la institución para la gestion de las autorizaciones emitidas por las EPS
2. Demora en los tramites para generar autorización por las EPS</t>
  </si>
  <si>
    <t>1. Vencimiento de términos
2. Entrega tardía de la respuesta por parte del área involucrada</t>
  </si>
  <si>
    <t xml:space="preserve">1. Entrega tardia del proyecto de respuesta en los diferentes servicios o áreas a las cuales se deriva las peticiones
2. Peticiones incompletas, confusas, irrespetuosas, Falta de trazabilidad a Matriz Derechos de Petición
3. Inconsistencias en información de matriz Derechos de petición con documentos físicos  </t>
  </si>
  <si>
    <t xml:space="preserve">1. Ausencia de un procedimiento documentado
2. Falta de controles establecidos.
3. Falta de mecanismos claros de seguimiento y monitoreo.
4. Inadecuada socialización del funcionamiento y manejo de caja menor con los procesos involucrados. </t>
  </si>
  <si>
    <t>1. Error en digitación.
2. Inconsistencia de los valores facturados, frente al valor del bien o servicio recibido.</t>
  </si>
  <si>
    <t xml:space="preserve">Sanciones por entes de vigilancia y control </t>
  </si>
  <si>
    <t xml:space="preserve">1. Falta de controles permanentes sobre efectivo y los encargados de su manejo.
2. Inobservancia del cumplimiento de normatividad aplicable al aseguramiento de los bienes y recursos del estado.
3. Vulnerabilidad del control del responsable de arqueos.
</t>
  </si>
  <si>
    <t>1. Debilidades la presentación del formato Libro de Bancos con código AF-F-03.
2. Falta de seguimiento y control a partidas conciliatorias.
3. Ausencia de depuración contable permanente y sostenible</t>
  </si>
  <si>
    <t>1. Desconocimiento de procedimientos y formatos establecidos
2. Debilidad en controles que conlleven al cumplimiento de las funciones asignadas.</t>
  </si>
  <si>
    <t>1. Interpretacion inadecuada de la afectacion de los rubros presupuestales.
2. Exposicion a condiciones de mercado de alta variabilidad en regulación.</t>
  </si>
  <si>
    <t>1. Omisión en la aplicación del procedimiento A-PR-05 Control de registro de activos.
2. Traslado de activo fijo sin previo aviso y autorización</t>
  </si>
  <si>
    <t xml:space="preserve">1. Falta de  seguimiento a los controles establecidos con una periodicidad
2. Falta de adherencia al procedimiento A-PR-06 Inventario Físco de Bodega 
</t>
  </si>
  <si>
    <t>1. Incumplimiento de politicas internas de la institucion en los plazos establecidos de reporte
2. Información inconsistente y no conciliada por parte de las áreas productoras</t>
  </si>
  <si>
    <t>1. Falta de documentacion completa frente los proceso contractuales
2. Cambios en la normatividad para la entidad.
3. Falta  de oportunidad en la entrega de infirmación  para su reporte.</t>
  </si>
  <si>
    <t>1. No aplicación de la  resolución 173 de 2021 donde se adopta Manual de contratación
2. Falta de adherencia manual de contratción en sus modadlidades de contrato</t>
  </si>
  <si>
    <t>El coordinador de contratación a necesidad revisa los estudios de conveniencia y oportunidad que enmarcan el inicio de proceso de contratación  y da aplicación a la resolución 173 de 2021 donde se adopta Manual de contratación, se registra formatos C-F-37 LISTA DE CHEQUEO CONTRATO DE PRESTACION DE SERVICIOS. y formato C -F-38 CONTRATO CON PLURALIDAD DE OFERENTES</t>
  </si>
  <si>
    <t xml:space="preserve">1. Falta de realización de estudios mercado 
2. Desconocimiento del manual de contratación </t>
  </si>
  <si>
    <t xml:space="preserve">1. Variaciones en las cotizaciones
2. Retardos de la preparación de los estudios de conveniencia
3. Desconocimiento del manual de contratación </t>
  </si>
  <si>
    <t>Posibilidad de demoras en el perfeccionamiento del contrato  dentro de los tiempos señalados por documentación incompleta por parte del proveedor de los contratos del programa madre canguro</t>
  </si>
  <si>
    <t>1. Falta de adherencia al procedimiento por el responsables del reporte de transferencias.
2. Incumplimiento al cronograma de TRD</t>
  </si>
  <si>
    <t xml:space="preserve">1. Falta de seguimiento por parte de la oficina de correspondencia.
2. Inoportunidad de respuesta por parte de las áreas.
3. Falta de alertas 
</t>
  </si>
  <si>
    <t>1. Falta de adherencia al programa de gestión documental
2. Incumplimiento al  plan institucional de archivos
3. Retraso de recuperación de la información
4. Falta de soporte para la toma de desiciones</t>
  </si>
  <si>
    <t>1. Inconvenientes de configuración y direccionamiento.
2. Cortes de fibra optica
3. Mantenimiento de las redes y equipos
4. Daños en el datacenter.
5. Falta de espacio para salvaguardar informacion.  
6. La Interrupción del servicio de Internet por parte del Proveedor de Servicios de Internet.
7. Daños en la infraestructura de cableado externo.
8. Implementación de nuevas tecnologías.
9. Terremoto, inundación o Incendio
10. Bloqueo de hardware y software</t>
  </si>
  <si>
    <t xml:space="preserve">1. Evolución y mejora continua de la tecnologia en cuanto a Hardware y Software.
2. Falta de contrato de mantenimiento de software  Falta de contrato de mantenimiento de hardware
3. No existe proveedor q de soporte o mantenimiento en HW o SW.   
4. Cambios en la normatividad que obligue a realizar grandes actualizaciones. </t>
  </si>
  <si>
    <t xml:space="preserve">1.Entrega de informacion no autorizado por gerencia                                                                                                                                                                                                                                                                                                                                                    2. La negligencia de los medios de comunicación en la tarea de verificar la información reportada y material audiovisual divulgado.                                                                                                                                                                                           3. Falta de imparcialidad en la información emitida.                                                                                                                                                                                                                                                                                                                                                      4. Uso de las redes sociales para masificar informacion falsa y no oficial por parte de la comunidad </t>
  </si>
  <si>
    <t xml:space="preserve">1. No adherencia a las buenas practicas para el manejo de los equipos biomedicos 
2. Manipulación inadecuada de equipos
3. Falta de capacitación
</t>
  </si>
  <si>
    <t>El líder de Biomédica ejecuta el programa de capacitación  de tecnología biomédica conforme al cronograma definido en el formato l IB-F-21 cronograma de capacitaciones de tecnología Biomédica , o bien al personal nuevo de la institución o según necesidad, en acompañaimiento permanente de Talento humano, dejando como evidencia de todas las capacitaciones en el  formato TH-F-15 Asistencia de colaboradores a capacitación y/o induccción</t>
  </si>
  <si>
    <t xml:space="preserve">1. No  identificacion de las causas externas
2. Fallas en el suministro de energía de la red principal (Electrificadora) </t>
  </si>
  <si>
    <t>1. No adherencia a protocolos y manuales institucionales
2. Mejoras infraestructura,proyectos de dotacion hospitalaria</t>
  </si>
  <si>
    <t>Afectación en la prestacion del servicio</t>
  </si>
  <si>
    <t xml:space="preserve">1. Falta de seguimiento, debido a la extemporaneidad en la respuesta a glosa inicial
2. Falta de seguimiento a la semaforización de la glosa.
3. Desconocimiento de la normatividad
</t>
  </si>
  <si>
    <t xml:space="preserve">1. Omisión de la  identificación y codificación de la glosa y devoluciones.
2. Desconocimiento de la normatividad
</t>
  </si>
  <si>
    <t xml:space="preserve">1. Diferencia de conceptos para llegar a acuerdo de conciliación entre las partes.
2. Desconocimiento de la normatividad
</t>
  </si>
  <si>
    <t xml:space="preserve">1. Incumplimiento en la normatividad vigente por parte de las EPS
2. No radicación de cuentas en el software por parte de Facturación 
</t>
  </si>
  <si>
    <t xml:space="preserve">1. Incumplimiento en la normatividad vigente por parte de las EPS
2. No radicación oportuna de las devoluciones de Auditoría de cuentas
3. No radicación de cuentas en el software por parte de Facturación 
</t>
  </si>
  <si>
    <t>1. La deficiente actualización de las cuentas por cobrar en el software, asi como la  No utilización del mismo para llevar allí toda la información integrada a las demàs áreas.
2. No migracion en su totalidad de los estados de cartera en el sistema de informacion vs Contabilidad</t>
  </si>
  <si>
    <t xml:space="preserve">Liquidación o intervención a Aseguradoras </t>
  </si>
  <si>
    <t xml:space="preserve">1. Inadecuda clasificación de la edad de cartera
2. Incertidumbre de probabilidad de cartera
3. Inadecuada aplicación de la metodologia </t>
  </si>
  <si>
    <t>1. Falta de adherencia a los procedimientos de facturación
2. Distracción en el momento de facturar                                                                                                                                                                                                                                                                                                                                                                              3. Falta de revisión en el momento de generar la factura                                                                                                                                                                                                                                                                                                                                             4. No registro oportuno de los cargos a la factura correspondiente.
5. Rotacion de facturadores entre los servicios</t>
  </si>
  <si>
    <t>1. Falta de soportes de apoyo diagnóstico.
2. Entrega inoportuna de la factura por parte del  facturador al area de armado y radicacion; no gestión oportuna de pendientes.
3. Carencia de soportes de la factura.</t>
  </si>
  <si>
    <t>1. Falta de capacitación                                                                                                                                                                                                                                                                                                                                                                                                                   2. Desconocimiento del sistema, parametrización del sistema</t>
  </si>
  <si>
    <t>1. No se cuenta con la caracterización de la población a atender
2. No se cuenta con frecuencia de uso de los servicios / morbilidad.
3. Falta de identificación de perfil epidemiologico
4. No realizar analisis adecuado de la propuesta de la modlidad de contratación (PGP)</t>
  </si>
  <si>
    <t>1. Actividades sin control
2. Carencia de evidencia objetiva del desempeño de actividades, Falta de planeción, errores en la determinación de fuentes de información y criterios legales</t>
  </si>
  <si>
    <t>Falta de adherencia procedimiento  SF-PR-29 inventario fisico</t>
  </si>
  <si>
    <t>1. Falta de seguimiento por parte de los supervisores de contrato
2. Errores en la formulación del seguimiento
3. No se reciben los informes de ejecucion en los tiempos establecidos</t>
  </si>
  <si>
    <t>GII-RG-03</t>
  </si>
  <si>
    <t>U-RG-02</t>
  </si>
  <si>
    <t>GM-RG-02</t>
  </si>
  <si>
    <t xml:space="preserve">1. Actas de reunión de compromisos generados, cuando aplique
2. Formatos OADS-F-35 Matriz de seguimiento indicadores plan de Desarrollo
3. Formato OADS-F-03 Plan Operativo por Procesos </t>
  </si>
  <si>
    <t>1. OADS-F-20 PLAN INSTITUCIONAL/ ESTRATEGICO  
2. Informe politicas MIPG</t>
  </si>
  <si>
    <t>1. ODAS-F-38 Instrumento de Planeación 
2. Informe trimestral de Seguimiento DOFA</t>
  </si>
  <si>
    <t>1. S-F-37 ESQUEMA DE PUBLICACIÓN DE INFORMACIÓN 
2. Correos electronicos.</t>
  </si>
  <si>
    <t>1. Informe trimestral
2. Envio correo electronicos</t>
  </si>
  <si>
    <t>1. Informe de adherencia de guias de practica clinica
2. Envio correo electronico</t>
  </si>
  <si>
    <t>1. Informe de mediciones higienicas.
2. Plan de intervención formato 	SST-F-43 Plan De Trabajo Sistema De Seguridad Y Salud En El Trabajo</t>
  </si>
  <si>
    <t>1. SST-F-43 Plan De Trabajo Sistema De Seguridad Y Salud En El Trabajo
2. TH-F-15 Asistencia De Colaboradores A Eventos</t>
  </si>
  <si>
    <t>1. GA-F-03 LISTA DE VERIFICACIÓN AL CUMPLIMIENTO DE GESTIÓN AMBIENTAL
2. Tablero de zonificación</t>
  </si>
  <si>
    <t>1. Informe de vertimiento
2. Plan de acción si se requiere.</t>
  </si>
  <si>
    <t xml:space="preserve">1. Soporte de novedades
2. Reporte mensual de nomina </t>
  </si>
  <si>
    <t xml:space="preserve">1. Reporte de Nómina
2. Reporte magnetico para giro del banco,
3. Soportes de Liquidación y Pago </t>
  </si>
  <si>
    <t>1. Posibilidad de sanciones administrativas por inoportunidad en el cobro de las contraprestaciones
2. Detrimento patromonial</t>
  </si>
  <si>
    <t>1. AC-F-27 REGISTRO DE NOTAS INTERNADO ROTATORIO 
2. GAC-F-28 FORMATO MENSUAL DE EVALUACIÓN INTERNADO ROTATORIO</t>
  </si>
  <si>
    <t>1. Muestra definida según intructivo SIAU-INS-01 
2. Consolidado de encuestas en excel 
3. Informe mensual de satisfacción</t>
  </si>
  <si>
    <t xml:space="preserve">1. Matriz SIAU-F-13 seguimiento quejas y reclamos por servicio y por factor de caldiad 
2. Indicador 446 Tiempo  promedio de respuesta a quejas de los usuarios </t>
  </si>
  <si>
    <t>1. Informe de estado de los documentos del  procesos 
2. Envio correo electronico</t>
  </si>
  <si>
    <t>1. Inadecuada identificacción de necesidades de medicamentos, dispositivos medicos,
2. Generacion de faltantes en medicamentos y dispositivos medicos.</t>
  </si>
  <si>
    <t xml:space="preserve">1. Listado basico  institucional (Servinte)
2. Relación contratos del periodo evaluado junto con los estudios previos 
3. C-F-31 Evaluación Técnica Definitiva
</t>
  </si>
  <si>
    <t>1. Medicamentos y dispositivos medicos con fechas de vencimiento menor a 3 meses.
2. Medicamentos y dispositivos medicos sin registro INVIMA
3. Medicamentos y dispositivos medicos con averias y/o sin cadena de frio
4. Medicamento y dispositivos medicos recibidos que no corresponden a lo contratado y requerido por la institucion</t>
  </si>
  <si>
    <t>1. Medicamentos sin cadena de frio que afecten su estabilidad.
2. Contaminacion cruzada
3. Vencimiento de medicamentos y/o dispositivos medicos</t>
  </si>
  <si>
    <t>1. SF-F-123,  VERIFICACIÓN DE CONDICIONES DEL TRANSPORTE A LA ENTREGA DE PEDIDOS DE PROVEEDORES
2. SF-SAM-F-47,LISTA DE CHEQUEO DE TRANSPORTE DE GASES MEDICINALES 
3. SF-F-124,  LISTA DE CHEQUEO PARA NUTRICIONES PARENTERALES
4. SF-F-26,  ACTA DE RECEPCION TECNICO ADMINISTRATIVA</t>
  </si>
  <si>
    <t>1. Perdida de recursos economicos
2. Vencimiento de medicamentos y/o dispositivos medicos</t>
  </si>
  <si>
    <t xml:space="preserve">1. Interrupción de tratamientos medicos.
2. Cancelación de cirugias
</t>
  </si>
  <si>
    <t>1. SF-F-36  INVENTARIO CARRO DE PARO
2. SF-F-38 LISTADO DE RESERVA AUTORIZADA DE MEDICAMENTOS Y DISPOSITIVOS MÉDICOS PARA SERVICIOS</t>
  </si>
  <si>
    <t>1. SF-F-58 "Control de inventarios y fechas de vencimiento"
2. Correo electronico de notificación de devolución de medicamentos y / o dispositivos medicos
3. SF-F-23 DEVOLUCION DE MERCANCIA A PROVEEDORES</t>
  </si>
  <si>
    <t>1. Solicitud de prestamo.( Oficio enviado a la entidad)
2. Cambio de alternativa terapeutica. (acta de reunión)
3. Contrato de emergencia (C-F-35)</t>
  </si>
  <si>
    <t>1. Pérdidas económicas o detrimento patrimonial
2. Pérdida, extravío, hurto, robo o faltantes pertenecientes a la entidad</t>
  </si>
  <si>
    <t>1. Perdidas economicas 
2. Perdidas de calidad del medicamento.</t>
  </si>
  <si>
    <t>1. CA-F-18 Acta de reunión.
2. CA-F-129 Formato listado de asistencia.
3. Listas de conteo (Generadas por Servinte)
4. Informe de inventario fisico</t>
  </si>
  <si>
    <t>1. Rehospitalizaciones de los usuarios del PMC
2. Inoportunidad en la detección de morbilidades en pacientes de alto riesgo</t>
  </si>
  <si>
    <t xml:space="preserve"> 1. AF-F-03 LIBRO DE BANCOS, EXTRACTOS BANCARIOS
 2. FORMATO AF-F-04 CONCILIACION BANCARIA</t>
  </si>
  <si>
    <t>1. Disfon enviado por la oficina de Talento humano
2. CA-F-18 acta de verificación</t>
  </si>
  <si>
    <t>1. Formato AF-F-03 libro de bancos
2. AF-F-04 Libro de Concilaiciones</t>
  </si>
  <si>
    <t>Formatos AF-F-06 Boletín diario de caja y F-05 Boletín de depositos</t>
  </si>
  <si>
    <t>1. Pérdida, extravío, hurto, robo o declaratoria de bienes muebles faltantes pertenecientes a la entidad
2. Perdidas economicas</t>
  </si>
  <si>
    <t>1. Formato A-F-02 Registro de activos fijos 
2. Informe Mensual de Registro de Activos Fijos a Contabilidad, Comprobantes de Egreso e Ingreso</t>
  </si>
  <si>
    <t>1. A-F-17 acta final de inventario, Informe semestral de análisis de inventario 
2. Reporte de inventario de Servinte</t>
  </si>
  <si>
    <t xml:space="preserve">1. Listado de contratos al cierre de periodo evaluado, Publicación en plataforma.
2. SECOP II, adjuntando Link  de cada proceso. 
3. CONTRALORIA  Oficio de  rendición de los contratos en PLATAFORMA SIA OBSERVA  y pantallazos de rendición
4. OFICIO A Procuraduria Regional  con la relacion de contratos suscritos durante el periodo.  
5. Patallazos  página web.
</t>
  </si>
  <si>
    <t>1. Diligenciamiemnto de formatos C-F-37 LISTA DE CHEQUEO CONTRATO DE PRESTACION DE SERVICIOS. 
2. Formato C -F-38 CONTRATO CON PLURALIDAD DE OFERENTES</t>
  </si>
  <si>
    <t>1. Detrimento patrimonial  
2. Sanciones
3. Procesos disciplinarios y fiscales</t>
  </si>
  <si>
    <t>1. Relación de contratos suscritos del periodo evalaudo
2. Correos electrónicos de solicitud de firma del contrato</t>
  </si>
  <si>
    <t>1. Sanciones Disciplinarias, Penales y Administrativas 
2. Acciones de Tutela</t>
  </si>
  <si>
    <t xml:space="preserve">1. GD-F-28 Formato Cronograma de actividades, 
2. GGD-F-05 Formato unico de inventario y/o GD-F-29  FORMATO ÚNICO DE INVENTARIO DOCUMENTAL/HISTORIALES
3. Informe mensual de reporte de cumplimiento de Transferencias documentales primarias 
</t>
  </si>
  <si>
    <t xml:space="preserve">1. Reporte del sistema de informacion ORFEO
2. Informe de  consolidación de  tiempos de respuesta de la correspondencia </t>
  </si>
  <si>
    <t xml:space="preserve">1. Sanciones administrativas
2. Perdida de información institucional
</t>
  </si>
  <si>
    <t>1. GD-F- 30 Formato de visitas y seguimiento aplicación TRD y el formato
2. GD-F-14 Auditoria implementación PGD y otros.</t>
  </si>
  <si>
    <t xml:space="preserve">1. Contratos firmados con los proveedores 
2. C-F-04 Informes de supervisión </t>
  </si>
  <si>
    <t>1. S-F-06 Hojas de vida de computo y comunicaciones
2. S-F-23 Formato inventario servidores virtuales
3. S-F-48 formato inventario</t>
  </si>
  <si>
    <t>1. Contratos de soporte sistemas de información Servinte, Daruma, Sicof y Agility, Contrato de servicio de correo electrónico y página web  y Contratos de compra
2. Informes de supervisión</t>
  </si>
  <si>
    <t>1. CO-F-03 publicación de contenidos de Altavoz                                                                                                            2. CO-F-04 Programación Mensajes institucionales en Altavoz
3. CO-F-02 Solicitud de piezas comunicativas</t>
  </si>
  <si>
    <t xml:space="preserve">1. IB-F-21 cronograma de capacitaciones de tecnología Biomédica
2. TH-F-15 Asistencia de colaboradores a capacitación y/o induccción.
</t>
  </si>
  <si>
    <t>1. Acta de Compromisos (cuando se evidencian hallazgos en el seguimiento)                                                                                                                                                                                                                                                                                                            2. INT-F-09 Consolidado de cantidades alimentación                                                                                                                                                                                                                                                                                                                                                       3. INT-F-10 Resumen por área                                                                                                                                                                                                                                                                                                                                                                                                   4. INT-F-11 Consolidado por centro de costo                                                                                                                                                                                                                                                                                                                                                                       5. INT-F-12 Consolidado valores                                                                                                                                                                                                                                                                                                                                                                                                      6. INT-F-13 Sabana facturación conteo dietas servicios                                                                                                                                                                                                                                                                                                                                                         7. INT - F-15  lista de chequeo alimentación
8. Informe lider servicios tercerizados.</t>
  </si>
  <si>
    <t>1. Acta de Compromisos (cuando se evidencian hallazgos en el seguimiento)                                                                                                                                                                                                                                                                                                                 2. INT-F-06- Lista chequeo aseo y desinfección, conforme a lo establecido en el procedimiento</t>
  </si>
  <si>
    <t>1. Acta de Compromisos (cuando se evidencian hallazgos en el seguimiento)                                                                                                                                                                                                                                                                                                              2. INT-F-07- Lista chequeo de seguridad y vigilancia</t>
  </si>
  <si>
    <t>1. Acta de Compromisos (cuando se evidencian hallazgos en el seguimiento)                                                                                                                                                                                                                                                                                                            2. INT-F-14-  control de recorrido de prendas limpias/servicio de lavanderia                                                                                                                                                                                                                                                                                                                 3. INT-F-16 Lista de chequeo de ropa hospitalaria</t>
  </si>
  <si>
    <t>1. Cronograma de mantenimiento formato de secreatria de salud  SN 3000  PMH plan de mantenimiento Hospitalario
2. MAN-F-17  reporte de mantenimiento                                                                                                                                                                                                                                                                                                                                                                                    3. MAN-F-10  lista de chequeo mantenimiento preventivo                                                                                                                                                                                                                                                                                                                                        4. MAN-F-14 hoja de vida equipo                                                                                                                                                                                                                                                                                                                                                                                                         5. MAN-F-19 bitacora reporte de mantenimiento</t>
  </si>
  <si>
    <t xml:space="preserve"> Informe seguimiento semestral sobre ejecucion del plan de mantenimiento hospitalario.</t>
  </si>
  <si>
    <t>1. Inoportunidad en los suministros de insumos por otros procesos
2. Desconocimiento de actualización normativa y modificación de términos legales
3.Los funcionarios de cada proceso, no asumen la responsabilidad que le compete a cada proceso frente a la implementación mantenimiento y mejora del proceso de sistema de control interno.</t>
  </si>
  <si>
    <t>1. Plan Anual de auditoria OACI-F-02
2. Plan de auditoria OACI-F-04</t>
  </si>
  <si>
    <t>1. Plan de auditoria OACI-F-04, informe preliminar OACI-F-17
2. Acta de reunión CA-F-18.
3. Listado de asistencia CA-F-129</t>
  </si>
  <si>
    <t>Informe de Auditorias OACI-F-16.</t>
  </si>
  <si>
    <t>1. Semaforización de Glosas AM-F-05
2. Repuesta a Glosas y Devoluciones AM-F-01
3. Informe trimestral de Glosas                                                                                                                                                                                                                                                                                                                                                                                                          4. Indicador 1340                                                                                                                                                                                                                                                                                                                                                                                                                                     5. Acta de comité de cartera.</t>
  </si>
  <si>
    <t>El técnico de cartera realiza revisión mensual a la actualización de los archivos generados por auditoria de cuentas médicas a fin de registrar los valores aceptados después de la conciliación según lo establecido en el procedimieto CAR-PR-05 Registro en Cartera de Glosas y Devoluciones, a través del Formato CAR-F-15 Lista de Chequeo verificación a actas de conciliación de glosas, formato CAR-F-16 Lista de Chequeo  verificación y seguimiento a pagares, formato CA-F-14 Matriz General  de Cartera por Entidad</t>
  </si>
  <si>
    <t xml:space="preserve">Formato CAR-F-15 Lista de Chequeo verificación a actas de conciliación de glosas, formato CAR-F-16 Lista de Chequeo  verificación y seguimiento a pagares, formato CA-F-14 Matriz General  de Cartera por Entidad,  informe de 2193  </t>
  </si>
  <si>
    <t>El líder de cartera realiza seguimiento según necesidad a la  Presentación del formulario de acreencia debidamente radicado ante la EAPB, mediante formulario  de presentación de acreencia.</t>
  </si>
  <si>
    <t>Formulario por la entidad liquidada de la  presentación de la acreencia.</t>
  </si>
  <si>
    <t>El coodinador de comercial  y contratación  de servicios de salud una vez se realiza el proceso de contratación  solicita dentro de los docuentos contractuales de la resolución 0441 la caracterización de la población a atender.</t>
  </si>
  <si>
    <t>Caracterización de población a atender</t>
  </si>
  <si>
    <t>CI-RG-03</t>
  </si>
  <si>
    <t xml:space="preserve">El jefe de control interno cuando se requiera envia por correo electronico las modificación de la información de la resolución 1519  de 2020 teniendo en cuenta el formato S-F-37 ESQUEMA DE PUBLICACIÓN DE INFORMACIÓN </t>
  </si>
  <si>
    <t xml:space="preserve">Reputacional </t>
  </si>
  <si>
    <t>1. Formato A-F-02 Registro de activos fijos 
2.Informe Mensual de Registro de Activos Fijos a Contabilidad, Comprobantes de Egreso e Ingreso</t>
  </si>
  <si>
    <t>Ingresos de activos sin factura</t>
  </si>
  <si>
    <t>El Proceso de auditoría de cuentas médicas  diariamente ingresa, designa y realiza la distribución de las glosas notificadas para análisis y gesitón conforme a lo establecido en el procedimiento  AM-PR-04 Respuesta a Glosas y Devoluciones, mediante el formato Semaforización de Glosas AM-F-05. De igual manera trimestralmente se realiza medición del indicador 1340 de oportunidad de respeusta a glosa inicial y consolida la información en informe trimestral presentado en comite de cartera.</t>
  </si>
  <si>
    <t>El técnico administrativo del proceso de auditoría de cuentas médicas diariamente  diligencia en el  formato AM-F-01 de respuesta a glosas y devoluciones,  la codificación por item de glosa conforme a lo establecido en el procedimiento AM-PR-04 Respuesta a Glosas y devoluciones y de acuerdo a la normatividad vigente en glosas. se consolida en informe trimestral del proceso, se realiza analisis de la glosa por concepto y centro de costo, igualmente de manera trimestral se mide y verifica la codificaicón de la glosa en el indicador 1341.</t>
  </si>
  <si>
    <t xml:space="preserve">1. Formato AM-F-01 de respuesta a glosas y devoluciones
2. Informe trimestral de seguimiento de clasificación de glosa
3. Indicador 1341 Identificación de las causales de glosa y codificación por conceptos según la normatividad vigente por centros de costo y por fecha de factura.(trimestral)
 </t>
  </si>
  <si>
    <t>El coordinador de Auditoria realiza trazabilidad mensualmente a la gestión de las devoluciones a través de la matriz  de Devoluciones  AM-F-04. En el comité de cartera mensula se socializa el seguimiento a la gestión a devoluciones, igualmente de forma trimestral se mide el indicador 1347 de cuentas devueltas gestionadas y en el informe trimestral se muestra el seguimiento a las devoluciones y a su gestión respectiva.</t>
  </si>
  <si>
    <t>1. AM-F-04 Matriz de Devoluciones 
2. Acta Comité Cartera mensual.
3. Informe Trimestral
4. Indicador  1347 Cuentas gestionadas devueltas acumuladas totales</t>
  </si>
  <si>
    <t>El coordinador de Auditoria   trimestralmente  realiza  Seguimiento y control de las glosas sin acuerdo en el informe trimestral del proceso.</t>
  </si>
  <si>
    <t>Informe Trimestral relacionando analisis de casos</t>
  </si>
  <si>
    <t>El profesional de cartera permanentemente realiza seguimiento al estado de los pagares suscritos, mediante el cobro persuasivo, el procedimiento CAR-PR-06 Recaudo de pagares, a través del formato CAR-F-16 Lista de Chequeo  verificación y seguimiento a pagares , y en el Manual Interno de Recaudo de Cartera. se presenta informe trimestral al comite de cartera.</t>
  </si>
  <si>
    <t>El profesional de cartera permanentemente realiza seguimiento al estado de los cartera, mediante el cobro persuasivo y la facturación radicada mes según lo indicado en: procedimiento del formato CAR-F-17  y en el Manual Interno de Recaudo de Cartera, se presenta informe trimestral al comite de cartera.</t>
  </si>
  <si>
    <t>Formato CAR-F-16 Lista de Chequeo  verificación y seguimiento a pagares y informe trimestral al comité d cartera. (4to jueves de cada mes vencido).</t>
  </si>
  <si>
    <t xml:space="preserve">
Formato CAR-F-17 Lista de Chequeo Seguimiento a cobro persuasivo y informe trimestral al comité d cartera. (4to jueves de cada mes vencido).</t>
  </si>
  <si>
    <t>Formato CA-F-14 Matriz General  de Cartera por Entidad y informe trimestral al comité de cartera. (4to jueves de cada mes vencido).</t>
  </si>
  <si>
    <t>El abogado de cartera asignado permanentemente realiza la trazabilidad y gestión a los acuerdos de pago, conciliaciones de cartera, conciliación de glosas, para así poder generar los respectivos cobros prejuridicos, de acuerdo a lo establecido en el manual interno de recuado de cartera mediante formato CAR-F-14  Matriz General  de Cartera por Entidad, se presenta informe trimestral al comite de cartera.</t>
  </si>
  <si>
    <t>El técnico de cartera realiza revisión mensual a la actualización de los informacion generada por auditoria de cuentas médicas y auditoria mediante cruces periodicos con las áreas involucradas, resultado de la revisión que se reporta en el acta de conciliación; mediante formato CAR-F-14  Matriz General  de Cartera por Entidad, se presenta informe trimestral al comite de cartera.</t>
  </si>
  <si>
    <t>El líder de cartera realiza acta de deterioro de cartera de manera trimestral dand cumplimiento al manual interno de cartera.</t>
  </si>
  <si>
    <t>Acta de deterioro de cartera de manera trimestral.</t>
  </si>
  <si>
    <t>El técnico de autorizaciones de urgencias  permanentemente emite y realiza el seguimiento al Anexo técnico 2 generado por servinte para recibir la autorización del servicio por parte de la ERP  según lo establecido en el Procediminiento F-PR-12 Autorización de Atención Incial de Urgencias, dejando como soporte la Autorizacion o solicitud enviada por correo electronico respectivamente, segun acuerdos de voluntades vigente</t>
  </si>
  <si>
    <t>El técnico de autorizaciones de Hospitalización  permanentemente emite y realiza el seguimiento al Anexo técnico 3, (Autorización de Servicios Posteriores a la Urgencia) generado para recibir la autorización del servicio por parte de la ERP  según lo establecido en el Procediminiento  F-PR-14 Autorización de Servicios Posteriores a la Urgencia, Autorizacion o solicitud enviada por correo electronico, respectivamente</t>
  </si>
  <si>
    <t>El tecnico de autorizaciones consolida trimestralmente  la información en los indicadores   1508: "Contención de la glosa final de la vigencia por concepto de autorizaciones",  y 1541:  "Seguimiento de autorizaciones de servicios hospitalarios,"</t>
  </si>
  <si>
    <t>1. Anexo Técnico No.2 (informe de la atencion inicial de Urgencias)
2. Anexo Técnico No. 4 (autorizacion) o 3 envíos electronicos con un lapso de 30 minutos por envio sin que se superen 24 horas.</t>
  </si>
  <si>
    <t xml:space="preserve">1. Anexo Técnico No. 3(Autorización de Servicios Posteriores a la Urgencia)
2. Anexo Técnico No. 4 (Autorizacion) o  3 envíos electronicos con un lapso de 30 minutos por envio sin que se superen 24 horas.
</t>
  </si>
  <si>
    <t>1. INDICADORES:  1508: "Contención de la glosa final de la vigencia por concepto de autorizaciones"
2. Indcadores 1541:  "Seguimiento de autorizaciones de servicios hospitalarios,"</t>
  </si>
  <si>
    <t>Diariamente el analista principal y analista de apoyo verifican las facturas enviadas a revisión para determinar si existe subfacturación, sobrefacturación y/o facturación limpia registrando en el Formato F-F-17 control evidencias por factura revisada, se emite informe mensual.</t>
  </si>
  <si>
    <t>1. Matriz Formato F-F-17 control evidencias por factura revisada.
2. Informes mensuales</t>
  </si>
  <si>
    <t>El profesional de facturación lider de armado y radicacion mensualmente,genera el reporte de estado de factura en SERVINTE, donde realizan  seguimiento y requerimiento a las facturas en estado AP, atraves  de notificacion de correo electronico a las areas correspondientes,  dando cumplimiento a la radicación de los pendientes  del mes siguiente quedando exclusivamente los casos excepcioales que no permitan su radicación,  según lo establecido en el Procedimiento F-PR-01 Armado y Radicación de Cuentas de acuerdo a la actividad 19, se emite informe mensual.</t>
  </si>
  <si>
    <t>1. Pantallazo de envios correos electrónicos de los requerimientos.
2. Informe mensual</t>
  </si>
  <si>
    <t>Pantallazos o correos electronicos del soporte del radicado o recepcion de las facturas</t>
  </si>
  <si>
    <t>El profesional de facturación lider de armado y radicacion mensualmente realiza seguimiento a los  envíos de las facturas radicadas alas diferentes ERP</t>
  </si>
  <si>
    <t>Los tecnicos de cada area identifica novedades o inconsistencias en el ingreso del paciente, los cuales se subsanan en el sistema de informacion SERVINTE, y se registran en planillas de inconsistencias.</t>
  </si>
  <si>
    <t>Planilla de inconsistencias</t>
  </si>
  <si>
    <t>1. Originen mayor demanda de servicios
2. Mayor costo asociado a la atención de salud.
3. Sobreocupación.</t>
  </si>
  <si>
    <t xml:space="preserve">1. Reporte diario de corresponencia 
2. GD-F-03 Formato de resgistro y radicación de correspondencia enviada
</t>
  </si>
  <si>
    <t>1. SN3000-PMH (Secretaría de Salud) Plan de mantenimiento a equipos de comunicaciones e informática  
2. Formato S-F-04 Mantenimiento preventivo de Hardware                                                                                                                      3. S-F-05 Mantenimiento preventivo de Software                                                                            4. S-F-06 Hoja de vida digital equipo de cómputo  y de comunicaciones  HRCATCH</t>
  </si>
  <si>
    <t>Unificar los Formatos S-F-04 Mantenimiento preventivo de Hardware, S-F-05 Mantenimiento preventivo de Software</t>
  </si>
  <si>
    <t>Tecnico de TIC</t>
  </si>
  <si>
    <t>Juiio a Diciembre</t>
  </si>
  <si>
    <t xml:space="preserve">Formato aprobado </t>
  </si>
  <si>
    <t xml:space="preserve">Actualizar procedimiento CO-PR-06 divulgación de información a través de comunicado de prensa incluyendo el formato CO-F-O7 Comunicado de prensa </t>
  </si>
  <si>
    <t xml:space="preserve">líder de Comunicaciones </t>
  </si>
  <si>
    <t>Actualizar el Procedimiento CO -PR- 01 Comunicados internos agregar en documentos soportes el formato CO-f-02 Solicitud de piezas comunicativas</t>
  </si>
  <si>
    <t>1. Indicadores 1335, Indicadores 1317, Indicadores 1318,  Indicadores 1611, Indicadores 1610, Indicadores 1609, Indicadores 1328</t>
  </si>
  <si>
    <t>1. Matriz derechos de petición oficina jurídica OAJ-F-07                                                                     2. Informe mensual PQRSD</t>
  </si>
  <si>
    <t>Los profesionales de gestión de riesgo  de acuerdo a cronograma realiza acompañamiento  a los procesos para  la  identificación, valoración  y actualización  a  los tipos de riesgo en las matrices OADS-F-40 Mapa de riesgo de gestión, OADS-F-14  Mapa de riesgos de corrupción, opacidad, fraude y soborno,  S-F-51  Matriz de riesgo  de seguridad de ka información.,  CA-F-75 mapa de riesgos asistenciales, AF-F-23 Mapa de riesgos de lavado de activos, financiamiento del terrorismo y proliferación de armas de destrucción masiva, SARLAF, OADS-F-44 Mapa de riesgos de indole contable.</t>
  </si>
  <si>
    <t>Los profesionales de gestión de riesgo a necesidad realizan seguimiento a los 6 tipos de riesgos el cual lo  registr en el formato OADS-F-41 Matriz de seguimiento a riesgos  e informe de monitoreo de la segunda linea de defensa.</t>
  </si>
  <si>
    <t>El coordnador de gestión de riesgos trimestralmente presenta la gestión de riesgos al comité de gestión de riesgos integral.</t>
  </si>
  <si>
    <t>Acta de comité de gestión de riesgos en el sitema de información DAARUMA</t>
  </si>
  <si>
    <t>1. OADS-F-40 Mapa de riesgo de gestión,
2. OADS-F-14  Mapa de riesgos de corrupción, opacidad, fraude y soborno,
3. S-F-51  Matriz de riesgo  de seguridad de ka información.
4. CA-F-75 mapa de riesgos asistenciales,
5. AF-F-23 Mapa de riesgos de lavado de activos, financiamiento del terrorismo y proliferación de armas de destrucción masiva, SARLAF
6. OADS-F-44 Mapa de riesgos de indole contable.</t>
  </si>
  <si>
    <t>1. OADS-F-41 Matriz de seguimiento a riesgos 
2. Informe de monitoreo de la segunda linea de defensa.</t>
  </si>
  <si>
    <t>Codificar formato base de datos producción 2193 de 2004</t>
  </si>
  <si>
    <t>El Referente de sistema de informacion(sic</t>
  </si>
  <si>
    <t>Formato codificado</t>
  </si>
  <si>
    <t>en curso</t>
  </si>
  <si>
    <t xml:space="preserve">GC-RG-05 </t>
  </si>
  <si>
    <t xml:space="preserve">Informe de verificación condiciones de habilitación </t>
  </si>
  <si>
    <t>Declaración de autoevaluación del REPS</t>
  </si>
  <si>
    <t>Crear el programa de seguridad basda en el comportamiento, prueba piloto con UCI Adultos.</t>
  </si>
  <si>
    <t>Lider SST</t>
  </si>
  <si>
    <t>Julio a Noviembre de 2024</t>
  </si>
  <si>
    <t>Programa de  seguridad basda en el comportamiento
Indicadores de accidentalidad UCI Adultos.</t>
  </si>
  <si>
    <t xml:space="preserve"> Inoportunidad, e inadecuada respuesta de eventos de  emergencias
Aumente la vulnerabilidad de los eventos
Perdida de la continuidad del servicio</t>
  </si>
  <si>
    <t>Posibilidad De Incumplimiento De Requisitos Legales Por Sanciones O Multas A Causa De Manejo Inadecuado De Residuos Peligrosos Hospitalarios</t>
  </si>
  <si>
    <t>1. Registro de capacitaciones  google forms.
2. Indicador de cobertura de capacitación</t>
  </si>
  <si>
    <t>Codificar, e implementar Tablero de zonificación</t>
  </si>
  <si>
    <t>Profesional especializado de gestión ambiental</t>
  </si>
  <si>
    <t>Formato codificado.</t>
  </si>
  <si>
    <t>Posibilidad De Contaminación Atmosférica A Causa De Los Gases Refrigerantes De Carácter Reductor De Ozono Usados En La Institución</t>
  </si>
  <si>
    <t xml:space="preserve">Contaminación de recursos naturales (atmosfericos)
Deterioro de la capa de ozono 
</t>
  </si>
  <si>
    <t xml:space="preserve">Codificar el formato  inventario de gases refrigerantes </t>
  </si>
  <si>
    <t>Posibilidad De Contaminación Ambiental A Causa De Inadecuada Rotulación De Sustancias Químicas</t>
  </si>
  <si>
    <t xml:space="preserve">Solicitar agendas adicionales de  las especialidades  consulta especializada  de Endocrinología, Neurocirugía, Urología, Anestesia manejo del dolor, Neuropediatría, con el fin de diminuir la demanda insatisfecha </t>
  </si>
  <si>
    <t>El Coordiandor Apoyo de Servicios de Salud</t>
  </si>
  <si>
    <t xml:space="preserve">Numero de agendas adicionales de las especialidades de  consulta especializada  de Endocrinología, Neurocirugía, Urología, Anestesia manejo del dolor, Neuropediatría, </t>
  </si>
  <si>
    <t>Laboratorio clínico</t>
  </si>
  <si>
    <t xml:space="preserve">El Lider de PMC junto con la oficina de comercial realizan mesas de trabajo para revisión de accionese n caso de requerirse frente a las EPS </t>
  </si>
  <si>
    <t>Lider de PMC
Lider de comercial</t>
  </si>
  <si>
    <t>Trimestral</t>
  </si>
  <si>
    <t>Acta de mesa de trabajo
Plan de Trabajo en caso de requerirse</t>
  </si>
  <si>
    <t>Sanciones administrativas
 Respuestas a quejas fuera de téminos</t>
  </si>
  <si>
    <t>El Coordiandor Apoyo de Servicios de Salud de manera trimestral realiza validación al nuemro de horas asigndas para consulta externa vs horas contratadas para tal fin por parte de las especialidades</t>
  </si>
  <si>
    <r>
      <rPr>
        <b/>
        <sz val="10"/>
        <rFont val="Tahoma"/>
        <family val="2"/>
      </rPr>
      <t xml:space="preserve">CAPTURA                                                                                                                                                                    </t>
    </r>
    <r>
      <rPr>
        <sz val="10"/>
        <rFont val="Tahoma"/>
        <family val="2"/>
      </rPr>
      <t xml:space="preserve">Posiblidad de Bloqueo de los sistemas de información, equipos de computo  por desactualización Tecnológica </t>
    </r>
  </si>
  <si>
    <r>
      <rPr>
        <b/>
        <sz val="10"/>
        <rFont val="Tahoma"/>
        <family val="2"/>
      </rPr>
      <t xml:space="preserve">CAPTURA                                       </t>
    </r>
    <r>
      <rPr>
        <sz val="10"/>
        <rFont val="Tahoma"/>
        <family val="2"/>
      </rPr>
      <t>Posibilidad de pérdida de confiabilidad en la información debido a la omisión en el registro en los estados de cartera</t>
    </r>
  </si>
  <si>
    <r>
      <rPr>
        <b/>
        <sz val="10"/>
        <rFont val="Tahoma"/>
        <family val="2"/>
      </rPr>
      <t xml:space="preserve">CAPTURA                                        </t>
    </r>
    <r>
      <rPr>
        <sz val="10"/>
        <rFont val="Tahoma"/>
        <family val="2"/>
      </rPr>
      <t>Posibilidad de subregistros en los estados financieros por inadecuada aplicación del calculo de deriroro de cartera</t>
    </r>
  </si>
  <si>
    <r>
      <rPr>
        <b/>
        <sz val="10"/>
        <rFont val="Tahoma"/>
        <family val="2"/>
      </rPr>
      <t xml:space="preserve">CAPTURA                                           </t>
    </r>
    <r>
      <rPr>
        <sz val="10"/>
        <rFont val="Tahoma"/>
        <family val="2"/>
      </rPr>
      <t>Posibilidad de no ejecución de las acciones individuales por 
no identificación de eventos de interés de salud pública de acuerdo a la normatividad vigente</t>
    </r>
  </si>
  <si>
    <r>
      <rPr>
        <b/>
        <sz val="10"/>
        <rFont val="Tahoma"/>
        <family val="2"/>
      </rPr>
      <t xml:space="preserve">CAPTURA                                                    </t>
    </r>
    <r>
      <rPr>
        <sz val="10"/>
        <rFont val="Tahoma"/>
        <family val="2"/>
      </rPr>
      <t>Posibilidad de Generación de glosas o disminución de ingresos por Subfacturación o sobrefacturación de servicios prestados</t>
    </r>
  </si>
  <si>
    <r>
      <rPr>
        <b/>
        <sz val="10"/>
        <rFont val="Tahoma"/>
        <family val="2"/>
      </rPr>
      <t xml:space="preserve">CAPTURA                                        </t>
    </r>
    <r>
      <rPr>
        <sz val="10"/>
        <rFont val="Tahoma"/>
        <family val="2"/>
      </rPr>
      <t xml:space="preserve">Posibilidad de pérdida de recursos económicos por errores en los registros de ingreso de pacientes </t>
    </r>
  </si>
  <si>
    <r>
      <rPr>
        <b/>
        <sz val="10"/>
        <rFont val="Tahoma"/>
        <family val="2"/>
      </rPr>
      <t xml:space="preserve">CAPTURA                                       </t>
    </r>
    <r>
      <rPr>
        <sz val="10"/>
        <rFont val="Tahoma"/>
        <family val="2"/>
      </rPr>
      <t>Posibilidad de pérdida económica por un inadecuado control de los activos fijos a causa de la omisión en la aplicación del procedimiento A-PR-05 Control de registro de activos.</t>
    </r>
  </si>
  <si>
    <r>
      <rPr>
        <b/>
        <sz val="10"/>
        <rFont val="Tahoma"/>
        <family val="2"/>
      </rPr>
      <t xml:space="preserve">CAPTURA                                      </t>
    </r>
    <r>
      <rPr>
        <sz val="10"/>
        <rFont val="Tahoma"/>
        <family val="2"/>
      </rPr>
      <t>Posibilidad de efecto dañoso sobre bienes por pérdida, extravío, hurto, robo o faltantes pertenecientes a la entidad, a causa de la omisión en la aplicación del procedimiento. SF-PR-29 inventario fisico</t>
    </r>
  </si>
  <si>
    <r>
      <rPr>
        <b/>
        <sz val="10"/>
        <rFont val="Tahoma"/>
        <family val="2"/>
      </rPr>
      <t xml:space="preserve">ANALISIS                                         </t>
    </r>
    <r>
      <rPr>
        <sz val="10"/>
        <rFont val="Tahoma"/>
        <family val="2"/>
      </rPr>
      <t xml:space="preserve">Posibilidad de inadecuada identificacción de necesidades de medicamentos, dispositivos medicos,  a causa de un ineficiente analsis de consumos historicos </t>
    </r>
  </si>
  <si>
    <r>
      <rPr>
        <b/>
        <sz val="10"/>
        <rFont val="Tahoma"/>
        <family val="2"/>
      </rPr>
      <t xml:space="preserve">CAPTURA                                       </t>
    </r>
    <r>
      <rPr>
        <sz val="10"/>
        <rFont val="Tahoma"/>
        <family val="2"/>
      </rPr>
      <t xml:space="preserve">Posibilidad de sanciones por entes de vigilancia y control por error de digitación en la causación y giros con diferencias entre valor pagado y el valor a pagar </t>
    </r>
  </si>
  <si>
    <r>
      <rPr>
        <b/>
        <sz val="10"/>
        <rFont val="Tahoma"/>
        <family val="2"/>
      </rPr>
      <t xml:space="preserve">ANALISIS                                           </t>
    </r>
    <r>
      <rPr>
        <sz val="10"/>
        <rFont val="Tahoma"/>
        <family val="2"/>
      </rPr>
      <t>Posibilidad de sanciones por revelación de estados financieros con incosistencias en la depuración de las concilicaciones bancarias</t>
    </r>
  </si>
  <si>
    <t xml:space="preserve">1. Inoportunidad en la entrega del reporte de información en cumplimiento con de la Circular Única expedida por la superintendencia Nacional de salud o la norma que la sustituya. (Resolución 256 de 2016)
2. Inoportunidad en el reporte de información en cumplimiento de decreto único reglamentario del sector salud y protección social o la norma que lo sustituya. (Decreto 2193 tabla de calidad y producción)
3. Inoportunidad en el reporte del informe de oportunidad de asignación de citas a las EPS´s ( Resolución 1552 de 2013)
4. Fallas en los sistemas de informacion frente al cumplimiento de los requisitos de las plataformas de reporte.
5. Desconocimiento de la resolución 1519 de 2020
6. Falta de entrega de información por parte de los procesos a gestión de sistemas de información y comunicaciones
</t>
  </si>
  <si>
    <t>Pantallazo de cargue en SIHO. 15 de mayo, 15 de agosto, 15 de noviembre y 15 de febrero del siguiente año.</t>
  </si>
  <si>
    <t>1. Pantallazo de indicadores tabla de calidad DARUMA.
2. Cargue de la información en SIHO15 de mayo, 15 de agosto, 15 de noviembre y 15 de febrero del siguiente año.</t>
  </si>
  <si>
    <t>1. Desactualización documental
2. No generar las alertas y creación de tareas 
3. Fallas en los sistemas de informacion frente  cargue de los documentos
4. No aplicación de las mecanismos de control establecidos para asegurar la aplicación de formatos  actualizados en los procesos institucionales.
5. Falta de adherencia a la norma fundamental.</t>
  </si>
  <si>
    <t>1.Debilidades de seguimiento y control por parte de los lideres de proceso debido a la falta de identificación, análisis y seguimiento de indicadores
2. Uso inadecuado de la información reportada en la ficha tecnica del indicador.
3. Inconsistencias de los datos de la fuente de información de los indicadores.</t>
  </si>
  <si>
    <t>Incumplimiento de los objetivos misionales y metas.</t>
  </si>
  <si>
    <t>1. Inadeacuada gestión del proceso
2 Limitación en oportunidades de Mejora</t>
  </si>
  <si>
    <t>1. La entidad dentro de su sistema de información, no cuenta con procesos articulados y oportunos que permitan realizar cruces de informacion para generar la nómina de manera confiable y oportuna
2. Legislación vigente - para liquidar nomina del personal no se tiene interfaz entre el sistema de información de nómina (ADA SICOF) y el sistema de informacion de financiera (SERVINTE)
3. Inadecuada liquidación de la nómina de personal de planta
4. Inadecuada liquidación de la nómina de personal con las empresas temporales que suministra personal administrativo, mantenimiento y biomedica
5. Inadecuada liquidación de la nómina de personal con las empresas temporales que suministra personal asistencial</t>
  </si>
  <si>
    <t>1. Formato de control de Autorizaciones de Libranzas y Creditos TH-F-17, 
2. Nómina mensual Individual del personal con descuento por libranzas
 3. Factura o Cuenta de Cobro de las entidades comerciales y bancarias con las se tiene convenio</t>
  </si>
  <si>
    <t xml:space="preserve">GAC-F-12 Seguimiento a Contraprestaciones Convenios Docencia Servicio </t>
  </si>
  <si>
    <t>Posibilidad de disminución en el flujo de recursos debido al no pago oportuno de las ERP</t>
  </si>
  <si>
    <t>Formato AF-F-21 Formato Caja Menor</t>
  </si>
  <si>
    <t>Formato AF-F-01 Arqueo de Caja</t>
  </si>
  <si>
    <t>1. Inadecuada gestión en el cumplimiento de metas.
2. Incumplimiento en la gestión de ejecución de plan de desarrollo institucional. (Indicador de la 408 de 2018)</t>
  </si>
  <si>
    <t>TES-RG-05</t>
  </si>
  <si>
    <t>VERSION: 03</t>
  </si>
  <si>
    <t>MAPA DE RIESGOS DE GESTIÓN Y FISCALES</t>
  </si>
  <si>
    <t>Documentación</t>
  </si>
  <si>
    <t>Selecciona el proceso corresponde de la lista desplegable
- Atención de urgencias
- Gestión clínica
- Sistema de información y atención al usuario
- Gestión quirúrgica
- Epidemiologia y salud pública
- Unidades de cuidados intensivos
- Gestión farmacéutica
- Apoyo a servicios de salud
- Enfermería</t>
  </si>
  <si>
    <t>Selecciona el subproceso corresponde de la lista desplegable
-	Atención de urgencias
-	Referencia y contrareferencia
-	Nutrición - Nutrición clínica
-	Nutrición - Soporte nutricional
-	Nutrición - Unidad preparación formulas nutricionales
-	Especialidades clínicas
-	Rehabilitación - Terapia respiratoria
-	Rehabilitación - fisioterapia
-	Rehabilitación - terapia de lenguaje
-	Rehabilitación - Psicología
-	Sistema de información y atención al usuario
-	Esterilización
-	Salas de parto
-	Salas de cirugía
-	Especialidades quirúrgicas
-	Cirugía vascular
-	Epidemiologia y salud publica
-	UCI Neonatal
-	UCI Adultos
-	UCI Pediátrica
-	Servicio farmacéutico
-	Buenas prácticas de Elaboración (BPE)
-	Buenas prácticas de Manufactura (BPM)
-	Consulta externa
-	Programa madre canguro
-	Programa Clínica de heridas, piel sana y terapia enterostomal
-	Apoyo diagnóstico y complementación terapéutica - Gastroenterología
-	Apoyo diagnóstico y complementación terapéutica - Radiología, imágenes diagnósticas e intervencionismo
-	Apoyo diagnóstico y complementación terapéutica - Resonancia
-	Apoyo diagnóstico y complementación terapéutica - Patología
-	Apoyo diagnóstico y complementación terapéutica - Laboratorio clínico
-	Apoyo diagnóstico y complementación terapéutica - Gestión pre. Transfuncional
-	Enfermería</t>
  </si>
  <si>
    <t>Diligiencie el codigo del riesgo, éste se compone de las iniciales del proceso o subproceso o servicio + iniciales del tipo de riesgos +  consecutivo</t>
  </si>
  <si>
    <t>Da respuesta al ¿Qué puede salir mal?
Articulado con los posibles sucesos de seguridad a reportar a seguridad del paceinte</t>
  </si>
  <si>
    <t>Corresponde a las razones por la cuales se puede presentar  el riesgo, redacte de la forma más concreta posible.</t>
  </si>
  <si>
    <t>Analice lo que podria ocasionar a la instirución la materialización del riesgo, se redacte de la forma más concreta posible. 
Da respuesta a las siguientes preguntas:
¿Qué podría pasar en caso en que el riesgo se presentara?
¿Qué impacto generaría su materialización?</t>
  </si>
  <si>
    <r>
      <t xml:space="preserve">Corresponde al tipo de riesgos relacionados en la politica y el manual de gestion de riesgos institucional
- </t>
    </r>
    <r>
      <rPr>
        <u/>
        <sz val="10"/>
        <color theme="1"/>
        <rFont val="Tahoma"/>
        <family val="2"/>
      </rPr>
      <t>Riesgo de gestión.</t>
    </r>
    <r>
      <rPr>
        <sz val="10"/>
        <color theme="1"/>
        <rFont val="Tahoma"/>
        <family val="2"/>
      </rPr>
      <t xml:space="preserve">
- Riesgo del sistema gestión de seguridad de la información.
- Riesgos asistenciales.
- Riesgos de lavado de activos y financiación del terrorismo / Financiamiento a la proliferación de armas de destrucción masiva. (SARLFT/PADM).
- Riesgos de corrupción, opacidad, fraude y soborno.
</t>
    </r>
    <r>
      <rPr>
        <u/>
        <sz val="10"/>
        <color theme="1"/>
        <rFont val="Tahoma"/>
        <family val="2"/>
      </rPr>
      <t>- Riesgo fiscal</t>
    </r>
    <r>
      <rPr>
        <sz val="10"/>
        <color theme="1"/>
        <rFont val="Tahoma"/>
        <family val="2"/>
      </rPr>
      <t xml:space="preserve">
- Riesgo contractual
- Riesgo clínico
Lista desplegable ya definida, para este caso pueden ser:
 </t>
    </r>
    <r>
      <rPr>
        <u/>
        <sz val="10"/>
        <color theme="1"/>
        <rFont val="Tahoma"/>
        <family val="2"/>
      </rPr>
      <t xml:space="preserve">-Riesgo de gestión. 
 - Riesgo fiscal </t>
    </r>
    <r>
      <rPr>
        <sz val="10"/>
        <color theme="1"/>
        <rFont val="Tahoma"/>
        <family val="2"/>
      </rPr>
      <t xml:space="preserve">
Según el caso</t>
    </r>
  </si>
  <si>
    <r>
      <t xml:space="preserve">Corresponde al/los grupo/s al que pertenece el riesgo:
- Riesgo de salud
- Riesgo operacional
- Riesgo actuarial
- Riesgo de crédito
- Riesgo de liquidez
- Riego de mercado
- Riesgo de lavado de activos y financiación de terrorismo
Lista desplegable ya definida, para este caso pueden ser: 
 </t>
    </r>
    <r>
      <rPr>
        <u/>
        <sz val="10"/>
        <color theme="1"/>
        <rFont val="Tahoma"/>
        <family val="2"/>
      </rPr>
      <t>- Riesgo operacional</t>
    </r>
    <r>
      <rPr>
        <sz val="10"/>
        <color theme="1"/>
        <rFont val="Tahoma"/>
        <family val="2"/>
      </rPr>
      <t xml:space="preserve">
-</t>
    </r>
    <r>
      <rPr>
        <u/>
        <sz val="10"/>
        <color theme="1"/>
        <rFont val="Tahoma"/>
        <family val="2"/>
      </rPr>
      <t xml:space="preserve"> Riesgo actuarial
- Riesgo de crédito
- Riesgo de liquidez
- Riego de mercado
</t>
    </r>
    <r>
      <rPr>
        <sz val="10"/>
        <color theme="1"/>
        <rFont val="Tahoma"/>
        <family val="2"/>
      </rPr>
      <t>Según el caso</t>
    </r>
  </si>
  <si>
    <t>Corresponde a información utilizada como base para la identificación del riesgo:
-	DOFA
-	Peligros/Riesgos
-	Salidas No Conformes
-	Seguridad del paciente
-	Requisitos Legales / Otros requisitos
-	Matriz de partes interesadas
-	Auditorías
-	Revisión por la Dirección
-	Caracterización
-	Normatividad Externa
Lista deplegabl ya definida</t>
  </si>
  <si>
    <t>Correspon dal sistema de gestión al cual afectaría el riesgo:
- Sistema de gestión de calidad del programa madre canguro (SGC PMC)
- Sistema de seguridad y salud en el trabajo (SST)
- Sistema de gestión ambiental (SGA)
- No aplica (NA)
Lista desplegable ya definida</t>
  </si>
  <si>
    <r>
      <t xml:space="preserve">Clasificación adicional del riesgo, puede ser:
- </t>
    </r>
    <r>
      <rPr>
        <b/>
        <sz val="10"/>
        <color theme="1"/>
        <rFont val="Tahoma"/>
        <family val="2"/>
      </rPr>
      <t>Ejecución y administración de procesos</t>
    </r>
    <r>
      <rPr>
        <sz val="10"/>
        <color theme="1"/>
        <rFont val="Tahoma"/>
        <family val="2"/>
      </rPr>
      <t xml:space="preserve">: Pérdidas derivadas de errores en la ejecución y administración de procesos.
</t>
    </r>
    <r>
      <rPr>
        <b/>
        <sz val="10"/>
        <color theme="1"/>
        <rFont val="Tahoma"/>
        <family val="2"/>
      </rPr>
      <t>- Fraude externo:</t>
    </r>
    <r>
      <rPr>
        <sz val="10"/>
        <color theme="1"/>
        <rFont val="Tahoma"/>
        <family val="2"/>
      </rPr>
      <t xml:space="preserve"> Pérdida derivada de actos de fraude por personas ajenas a la organización (no participa personal de la entidad).
</t>
    </r>
    <r>
      <rPr>
        <b/>
        <sz val="10"/>
        <color theme="1"/>
        <rFont val="Tahoma"/>
        <family val="2"/>
      </rPr>
      <t xml:space="preserve">- Fraude interno:  </t>
    </r>
    <r>
      <rPr>
        <sz val="10"/>
        <color theme="1"/>
        <rFont val="Tahoma"/>
        <family val="2"/>
      </rPr>
      <t xml:space="preserve">Pérdida debido a actos de fraude, actuaciones irregulares, comisión de hechos delictivos abuso de confianza, apropiación indebida, incumplimiento de regulaciones legales o internas de la entidad en las cuales está involucrado por lo menos 1 participante interno de la organización, son realizadas de forma intencional y/o con ánimo de lucro para sí mismo o para terceros.
</t>
    </r>
    <r>
      <rPr>
        <b/>
        <sz val="10"/>
        <color theme="1"/>
        <rFont val="Tahoma"/>
        <family val="2"/>
      </rPr>
      <t>- Fallas tecnológicas:</t>
    </r>
    <r>
      <rPr>
        <sz val="10"/>
        <color theme="1"/>
        <rFont val="Tahoma"/>
        <family val="2"/>
      </rPr>
      <t xml:space="preserve"> Errores en hardware, software, telecomunicaciones, equipos biomedicos, interrupción de servicios básicos.
</t>
    </r>
    <r>
      <rPr>
        <b/>
        <sz val="10"/>
        <color theme="1"/>
        <rFont val="Tahoma"/>
        <family val="2"/>
      </rPr>
      <t>- Relaciones laborales:</t>
    </r>
    <r>
      <rPr>
        <sz val="10"/>
        <color theme="1"/>
        <rFont val="Tahoma"/>
        <family val="2"/>
      </rPr>
      <t xml:space="preserve"> Pérdidas que surgen de acciones contrarias a las leyes o acuerdos de empleo, salud o seguridad, del pago de demandas por daños personales o de discriminación.
</t>
    </r>
    <r>
      <rPr>
        <b/>
        <sz val="10"/>
        <color theme="1"/>
        <rFont val="Tahoma"/>
        <family val="2"/>
      </rPr>
      <t xml:space="preserve">- Usuarios, productos y prácticas: </t>
    </r>
    <r>
      <rPr>
        <sz val="10"/>
        <color theme="1"/>
        <rFont val="Tahoma"/>
        <family val="2"/>
      </rPr>
      <t xml:space="preserve">Fallas negligentes o involuntarias de las obligaciones frente a los usuarios y que impiden satisfacer una obligación profesional frente a éstos.
</t>
    </r>
    <r>
      <rPr>
        <b/>
        <sz val="10"/>
        <color theme="1"/>
        <rFont val="Tahoma"/>
        <family val="2"/>
      </rPr>
      <t>- Daños a activos fijos/eventos externos:</t>
    </r>
    <r>
      <rPr>
        <sz val="10"/>
        <color theme="1"/>
        <rFont val="Tahoma"/>
        <family val="2"/>
      </rPr>
      <t xml:space="preserve"> Pérdida por daños o extravíos de los activos fijos por desastres naturales u otros riesgos/eventos externos como atentados, vandalismo, orden público.
Legal
Financiero
Operativo
Reputacional
Contagio
Ataques externos
Errores humanos
Eventos naturales
</t>
    </r>
    <r>
      <rPr>
        <b/>
        <sz val="10"/>
        <color theme="1"/>
        <rFont val="Tahoma"/>
        <family val="2"/>
      </rPr>
      <t>- Seguridad del paciente:</t>
    </r>
    <r>
      <rPr>
        <sz val="10"/>
        <color theme="1"/>
        <rFont val="Tahoma"/>
        <family val="2"/>
      </rPr>
      <t xml:space="preserve"> Sucesos de seguridad asociados a la atención del usuario.
Lista desplegable ya definida.</t>
    </r>
  </si>
  <si>
    <t xml:space="preserve">
Procesos
Talento humano
Tecnología
Infraestructura
Evento externo
Clientes/Usuarios
Productos/Servicios
Canales de distribución
Jurisdicciones
Contrapartes
Se puede presentar más de un factor</t>
  </si>
  <si>
    <t>Se tiene en cuenta la frecuencia con la que se puede llegar a presentar el suceso de seguridad, basados en supuestos o en datos historicos reportados en seguridad del paciente.
Lista desplegable (Criterios tomados de la hoja de excel denominada Probabilidad)</t>
  </si>
  <si>
    <t>Campo parametrizado con el criterio de probabilidad seleccionado</t>
  </si>
  <si>
    <t>Criterios asociados al estado del paciente en caso que ocurriera el riesgo del paciente.
Lista desplegable ya definida (Criterios tomados de la hoja de excel denominada Impacto)</t>
  </si>
  <si>
    <t>Campo parametrizado con el criterio de impacto seleccionado</t>
  </si>
  <si>
    <t>Se obtiene de la multiplicación de los valores de probabilidad por impacto. Se encuentra paramatrizado</t>
  </si>
  <si>
    <t>Campo parametrizado resultado de la multiplicación de probabilidad por impacto, tomando como base la hoja de excel denominada matriz</t>
  </si>
  <si>
    <t>Enumeración del control por riesgo</t>
  </si>
  <si>
    <r>
      <t xml:space="preserve">Se definen la medidas que permiten evitar o reducir el riesgo a través de acciones, necesarias para controlar, evitar o reducir la materialización del riesgo.Que existen actualmente, se tiene en cuenta:
</t>
    </r>
    <r>
      <rPr>
        <u/>
        <sz val="10"/>
        <color theme="1"/>
        <rFont val="Tahoma"/>
        <family val="2"/>
      </rPr>
      <t>Responsable de ejecutar el control</t>
    </r>
    <r>
      <rPr>
        <sz val="10"/>
        <color theme="1"/>
        <rFont val="Tahoma"/>
        <family val="2"/>
      </rPr>
      <t xml:space="preserve">: Identifica el cargo de la persona que ejecuta el control, en caso de que sean controles automaticos se identifica el sistema que realiza la actividad.
</t>
    </r>
    <r>
      <rPr>
        <u/>
        <sz val="10"/>
        <color theme="1"/>
        <rFont val="Tahoma"/>
        <family val="2"/>
      </rPr>
      <t xml:space="preserve">Acción: </t>
    </r>
    <r>
      <rPr>
        <sz val="10"/>
        <color theme="1"/>
        <rFont val="Tahoma"/>
        <family val="2"/>
      </rPr>
      <t xml:space="preserve">Se determina mediante verbos que indican la acción que deben realizar como parte del control.
</t>
    </r>
    <r>
      <rPr>
        <u/>
        <sz val="10"/>
        <color theme="1"/>
        <rFont val="Tahoma"/>
        <family val="2"/>
      </rPr>
      <t>Complemento</t>
    </r>
    <r>
      <rPr>
        <sz val="10"/>
        <color theme="1"/>
        <rFont val="Tahoma"/>
        <family val="2"/>
      </rPr>
      <t>: Son los detalles que se permiten identificar el objeto del control.
"Responsable de ejecutar el control + acción + complemento"</t>
    </r>
  </si>
  <si>
    <t xml:space="preserve">Campo parametrizado el cual depende de campo denominado "Calificación", puede ser probabilidad o impacto </t>
  </si>
  <si>
    <t>Atributo asociada al control existente, el cual puede ser:
- Preventivo
- Detectivo
- Correctivo
Lista desplegable ya definida</t>
  </si>
  <si>
    <t>Atributo asociada a la forma en que se implementa el control:
- Automatico
- Manual
Lista desplegable ya definida</t>
  </si>
  <si>
    <t>Campo parametrizado asociado con los atributos de tipo e implementación seleccionados</t>
  </si>
  <si>
    <t>Atributo asociado la existencia o no del control en algun documento:
- Documentado
- Sin documentar
Lista desplegable ya definida</t>
  </si>
  <si>
    <t>Atributo asociado a la frecuencia en la que se implementa el control definido:
- Continua
- Aleatoria
Lista desplegable ya definida</t>
  </si>
  <si>
    <t>Atributo asociado a la existencia de registros del control defindo:
- Con registro
- Sin registro
Lista desplegable ya definida</t>
  </si>
  <si>
    <t>Se detallan los formatos, informes, indicadores y/o todas aquellas evidencia soporte del control definido.
El soporte de la evidencia debe contar con el código respectivo asociado al mismo.</t>
  </si>
  <si>
    <t>Campo parametrizado, el cual depende de la afeactación obtenida</t>
  </si>
  <si>
    <t>Resultado de la zona del riesgo del ultimo control del riesgo evaluado</t>
  </si>
  <si>
    <t>Selecciona la estrategia a utilizar para el riesgo despues de controles asociadas a la politica y el manual de gestión de riesgos integral:
- Reducir (Mitigar)
- Reducir (Transferir)
- Aceptar
- Evitar
- Compartir
Lista desplegable ya definida</t>
  </si>
  <si>
    <t>Se detallan la acciones adicionales a los controles que se define implementar para reducir la probabilidad de ocurrencia del riesgo. No siempre se requiere.</t>
  </si>
  <si>
    <t>Cargo de la persona responsable de implementar la acción</t>
  </si>
  <si>
    <t>Fecha máxima a implementar la acción definida</t>
  </si>
  <si>
    <t>Fecha en que ser realizará seguimiento a la implementación de la acción</t>
  </si>
  <si>
    <t>Se describe el producto a entregar, resultado de la acción</t>
  </si>
  <si>
    <t>Selección el estado en que se encuentra la acción cuando se realiza el seguimiento:
- En curso
- Finalizado
Lista desplegable ya definida</t>
  </si>
  <si>
    <t>Ejemplo:</t>
  </si>
  <si>
    <t>No aplicación de las mecanismos de control establecidos para asegurar la implementación de los estandares de habilitación en los procesos institucionales.
Falta de adherencia a la resolución 3100 de 2019.
Inexistencia de procedimiento de autoevaluación del sistema único de habilitación.
No actualización o ausencia de protocolos, guías, procedimientos, formatos, manuales, guías</t>
  </si>
  <si>
    <t xml:space="preserve">ESE HOSPITAL UNIVERSITARIO SAN RAFAEL DE TUNJA </t>
  </si>
  <si>
    <t>FECHA: 27/06/2024</t>
  </si>
  <si>
    <t>CONTROL DE CAMBIOS</t>
  </si>
  <si>
    <t>No. VERSION</t>
  </si>
  <si>
    <t>FECHA</t>
  </si>
  <si>
    <t xml:space="preserve"> RESPONSABLE </t>
  </si>
  <si>
    <t>DESCRIPCION</t>
  </si>
  <si>
    <t>Lina María Patarroyo Parra</t>
  </si>
  <si>
    <t>Creación de formato</t>
  </si>
  <si>
    <t>Dorisol Pamplona Vanegas</t>
  </si>
  <si>
    <t>Se incuye el campo de codigo de riesgo, Fuente de identificación de riesgo, Sistema de gestión afectado.</t>
  </si>
  <si>
    <t>1. Se actualiza instructivo.
2. Se incluyen los riesgos fiscales dentro de los tipo de riesgos.
3. Se ajustan las zonas de riesgos tomando como base la actualización del manual de gestión de riesgos OADS-M-02</t>
  </si>
  <si>
    <t xml:space="preserve">El líder del proceso cuando se requiera envia por correo electronico las modificación de la información de la resolución 1519 de 2020 teniendo en cuenta el formato S-F-37 ESQUEMA DE PUBLICACIÓN DE INFORMACIÓN </t>
  </si>
  <si>
    <t xml:space="preserve">1. El profesional ambiental realiza según cronograma Inspecciones de cumplimiento a los servicios a traves del formato GA-F-03 LISTA DE VERIFICACIÓN AL CUMPLIMIENTO DE GESTIÓN AMBIENTAL, se consolida en el tablero de zonificación ambiental teniendo en cuenta el proccedimiento GA-PR-05 INSPECCIONES AMBIENTALES
</t>
  </si>
  <si>
    <r>
      <rPr>
        <b/>
        <sz val="10"/>
        <rFont val="Tahoma"/>
        <family val="2"/>
      </rPr>
      <t xml:space="preserve">TRANSMISIÓN                                </t>
    </r>
    <r>
      <rPr>
        <sz val="10"/>
        <rFont val="Tahoma"/>
        <family val="2"/>
      </rPr>
      <t>Posibilidad de sanciones  disciplinarios y fiscales  debido  al no reporte oportuno de rendición de contratos en las plataformas destinadas por los entes de control y seguimiento. (PROCURADURIA, SECOP)</t>
    </r>
  </si>
  <si>
    <r>
      <rPr>
        <b/>
        <sz val="10"/>
        <rFont val="Tahoma"/>
        <family val="2"/>
      </rPr>
      <t xml:space="preserve">TRANSMISIÓN                                   </t>
    </r>
    <r>
      <rPr>
        <sz val="10"/>
        <rFont val="Tahoma"/>
        <family val="2"/>
      </rPr>
      <t>Posibilidad de sanciones Disciplinarias, Pecuniarias  por inoportunidad y calidad en el flujo  de la informacion reportada por las áreas productoras de la misma hacia contabilidad.</t>
    </r>
  </si>
  <si>
    <r>
      <rPr>
        <b/>
        <sz val="10"/>
        <rFont val="Tahoma"/>
        <family val="2"/>
      </rPr>
      <t xml:space="preserve">ANÁLISIS                                           </t>
    </r>
    <r>
      <rPr>
        <sz val="10"/>
        <rFont val="Tahoma"/>
        <family val="2"/>
      </rPr>
      <t>Posibilidad de que se origine una incapacidad financiera de la entidad para respaldar gastos necesario para su funcionamiento y operación debido a la una inadecuada planeación de necesidades para la vigencia fiscal</t>
    </r>
  </si>
  <si>
    <r>
      <rPr>
        <b/>
        <sz val="10"/>
        <rFont val="Tahoma"/>
        <family val="2"/>
      </rPr>
      <t xml:space="preserve">ANÁLISIS                                        </t>
    </r>
    <r>
      <rPr>
        <sz val="10"/>
        <rFont val="Tahoma"/>
        <family val="2"/>
      </rPr>
      <t xml:space="preserve">Posibilidad de  sanciones por entes de control debido a  inconsistencias en la información durante la expedicion de los Certificados de Disponibilidad y Registro Presupuestal sin lleno de requisitos o afectacion equivocada de rubros presupuestales </t>
    </r>
  </si>
  <si>
    <r>
      <rPr>
        <b/>
        <sz val="10"/>
        <rFont val="Tahoma"/>
        <family val="2"/>
      </rPr>
      <t xml:space="preserve">TRANSMISIÓN                                            </t>
    </r>
    <r>
      <rPr>
        <sz val="10"/>
        <rFont val="Tahoma"/>
        <family val="2"/>
      </rPr>
      <t>Posibilidad de inicio de acciones consitucionales por extemporaneidad en la emision de respuestas a los derechos de petición conforme a la normatividad vigente</t>
    </r>
  </si>
  <si>
    <r>
      <rPr>
        <b/>
        <sz val="10"/>
        <rFont val="Tahoma"/>
        <family val="2"/>
      </rPr>
      <t xml:space="preserve">CONSERVACIÓN                                                                                                                                                          </t>
    </r>
    <r>
      <rPr>
        <sz val="10"/>
        <rFont val="Tahoma"/>
        <family val="2"/>
      </rPr>
      <t xml:space="preserve">Posibilidad de incumplimiento de realizar Transferencias Documentales primarias en los términos que estable el cronograma 
</t>
    </r>
  </si>
  <si>
    <r>
      <rPr>
        <b/>
        <sz val="10"/>
        <rFont val="Tahoma"/>
        <family val="2"/>
      </rPr>
      <t xml:space="preserve">CONSERVACIÓN                                                                                                                                                      </t>
    </r>
    <r>
      <rPr>
        <sz val="10"/>
        <rFont val="Tahoma"/>
        <family val="2"/>
      </rPr>
      <t>Posibilidad de Sanciones administrativas por  falta de adherencia a las TRD institucionales debido al incumplimiento del programa de gestion documental y plan institucional de archivos</t>
    </r>
  </si>
  <si>
    <r>
      <rPr>
        <b/>
        <sz val="10"/>
        <rFont val="Tahoma"/>
        <family val="2"/>
      </rPr>
      <t xml:space="preserve">TRANSMISIÓN                                                                                                                                                       </t>
    </r>
    <r>
      <rPr>
        <sz val="10"/>
        <rFont val="Tahoma"/>
        <family val="2"/>
      </rPr>
      <t xml:space="preserve">Posibilidad de Interrupción del servicio que afecte la infraestructura tecnológica de la entidad por  de falta de mantenimientos </t>
    </r>
  </si>
  <si>
    <r>
      <rPr>
        <b/>
        <sz val="10"/>
        <rFont val="Tahoma"/>
        <family val="2"/>
      </rPr>
      <t xml:space="preserve">TRANSMISIÓN                                   </t>
    </r>
    <r>
      <rPr>
        <sz val="10"/>
        <rFont val="Tahoma"/>
        <family val="2"/>
      </rPr>
      <t>Posibilidad de Pérdida de credibilidad del Hospital por divulgación en medios de comunicación de información que no corresponde a la realidad de la institución.</t>
    </r>
  </si>
  <si>
    <r>
      <rPr>
        <b/>
        <sz val="10"/>
        <rFont val="Tahoma"/>
        <family val="2"/>
      </rPr>
      <t>IDENTIFICACIÓN                                     Etapa Respuesta a Glosas</t>
    </r>
    <r>
      <rPr>
        <sz val="10"/>
        <rFont val="Tahoma"/>
        <family val="2"/>
      </rPr>
      <t xml:space="preserve">
Posibilidad de no identificación de las causales de la glosa debido a falta de codificación de la glosa y devoluciones.</t>
    </r>
  </si>
  <si>
    <r>
      <rPr>
        <b/>
        <sz val="10"/>
        <rFont val="Tahoma"/>
        <family val="2"/>
      </rPr>
      <t xml:space="preserve">TRANSMISIÓN                                 </t>
    </r>
    <r>
      <rPr>
        <sz val="10"/>
        <rFont val="Tahoma"/>
        <family val="2"/>
      </rPr>
      <t>Posibilidad de sanciones administrativas por presentación extemporánea de informes requeridos por los entes externos de control y/o Incumplimiento del programa anual de auditorías debido a falta de oportunidad en la entrega de la información requerida a los procesos.</t>
    </r>
  </si>
  <si>
    <t>El subgerente administrativo y financiero mensualmente verifica presupuestal, contable y tesoralmente la ejecución y cumplimiento de la caja menor de acuerdo a lo establecido en el procedimiento AF-PR-21 y en la Resolución 470 de 2022 de  de caja menor</t>
  </si>
  <si>
    <t>GDEH-RG-04
SST-RG-01
GA-RG-02
GA-RG-03
GA-RG-04
GTH-RG-04
SIAU-RG-03
CE-RG-04
GD-RG-04
S-RG-03
CO-RG-02
CI-RG-02
CI-RG-03</t>
  </si>
  <si>
    <t>GA-RG-05
CI-RG-01</t>
  </si>
  <si>
    <t>SST-RG-03
GA-RG-01
TES-RG-05
GD-RG-01
GD-RG-03
S-RG-01
S-RG-02
GT-RG-02</t>
  </si>
  <si>
    <t>GM-RG-01
AM-RG-02</t>
  </si>
  <si>
    <t>GT-RG-01
F-RG-01
F-RG-02
F-RG-03
F-RG-04</t>
  </si>
  <si>
    <t>CE-RG-01
CE-RG-02
CE-RG-03
AM-RG-01</t>
  </si>
  <si>
    <t>GC-RG-01
C-RG-02
C-RG-03
CAR-RG-04</t>
  </si>
  <si>
    <t>GC-RG-02
SIAU-RG-02
U-RG-02
GC-RG-01
GC-RG-02
UCI-RG-02
CO-RG-01</t>
  </si>
  <si>
    <t>GDEH-RG-01
GDEH-RG-05
GC-RG-06
GS-RG-03
C-RG-07
AM-RG-04</t>
  </si>
  <si>
    <t>Tabla Criterios para definir el nivel de impacto</t>
  </si>
  <si>
    <t>GS-RG-04
CAR-RG-01
CAR-RG-06</t>
  </si>
  <si>
    <t>C-RG-01
AM-RG-03
CAR-RG-03</t>
  </si>
  <si>
    <t>CAR-RG-02
AU-RG-01</t>
  </si>
  <si>
    <t>TES-RG-01
GS-RG-01
GD-RG-02</t>
  </si>
  <si>
    <t>GC-RG-03
GC-RG-04
GTH-RG-01
SIAU-RG-01
ESP-RG-01
SF-RG-01
SF-RG-02
SF-RG-03
SF-RG-04
SF-RG-05
PRE-RG-02
C-RG-05</t>
  </si>
  <si>
    <t>SST-RG-02
GTH-RG-03
ENF-RG-01
ENF-RG-02
U-RG-01
GQ-RG-01
GQ-RG-02
UCI-RG-01
SF-RG-07
PMC-RG-01
GJ-RG-01
GJ-RG-02
GJ-RG-03
TES-RG-02
TES-RG-03
GS-RG-05</t>
  </si>
  <si>
    <t>TES-RG-04
PRE-RG-03
GSA-RG-01</t>
  </si>
  <si>
    <t>PRE-RG-01
GS-RG-02
GS-RG-06
GT-RG-03
GM-RG-02</t>
  </si>
  <si>
    <r>
      <rPr>
        <b/>
        <sz val="10"/>
        <rFont val="Tahoma"/>
        <family val="2"/>
      </rPr>
      <t xml:space="preserve">TRANSMISIÓN  
</t>
    </r>
    <r>
      <rPr>
        <sz val="10"/>
        <rFont val="Tahoma"/>
        <family val="2"/>
      </rPr>
      <t>Posibilidad de Incumplimiento de Términos Legales frente a la Acción de Tutela por la Entrega tardía de la respuesta por parte del área involucrada</t>
    </r>
  </si>
  <si>
    <t>GC-RG-05 
C-RG-06</t>
  </si>
  <si>
    <t>GDEH-RG-05
GC-RG-01
GC-RG-02
GC-RG-06</t>
  </si>
  <si>
    <t>SST-RG-02
GTH-RG-02
SIAU-RG-01
ESP-RG-01
SF-RG-02
SF-RG-05
PMC-RG-01
PRE-RG-02
C-RG-05</t>
  </si>
  <si>
    <t>GS-RG-02
C-RG-06</t>
  </si>
  <si>
    <t>GDEH-RG-02
GDEH-RG-03
GC-RG-04
SST-RG-04
GTH-RG-03
GII-RG-01
GII-RG-02
GII-RG-03
ENF-RG-01
ENF-RG-02
U-RG-01
GQ-RG-01
GQ-RG-02
UCI-RG-01
UCI-RG-02
SF-RG-01
SF-RG-03
SF-RG-04
SF-RG-06
SF-RG-07
GJ-RG-01
GJ-RG-02
GJ-RG-03
TES-RG-01
TES-RG-02
TES-RG-03
TES-RG-04
PRE-RG-03
GS-RG-01
GS-RG-05
GD-RG-02</t>
  </si>
  <si>
    <t>GC-RG-03
GTH-RG-01
LB-RG-01
PRE-RG-01
GS-RG-02
GS-RG-06
GT-RG-03
GSA-RG-01
GM-RG-02</t>
  </si>
  <si>
    <t>GDEH-RG-01
SIAU-RG-02
U-RG-02
GC-RG-01
GC-RG-02
GS-RG-03
C-RG-07
CO-RG-01
AM-RG-04</t>
  </si>
  <si>
    <t>C-RG-01
AM-RG-03
CAR-RG-02
CAR-RG-03</t>
  </si>
  <si>
    <t>CE-RG-01
CE-RG-02
CE-RG-03
C-RG-02
C-RG-03
AM-RG-01
CAR-RG-04</t>
  </si>
  <si>
    <t>AM-RG-02
F-RG-01
F-RG-02
F-RG-03
F-RG-04</t>
  </si>
  <si>
    <t>GS-RG-04
CAR-RG-01
CAR-RG-06
AU-RG-01
GC-RG-01</t>
  </si>
  <si>
    <t>GA-RG-01
GA-RG-02
GA-RG-05
S-RG-01
CI-RG-01
CI-RG-02</t>
  </si>
  <si>
    <t>GDEH-RG-04
SST-RG-01
SST-RG-03
GA-RG-02
GA-RG-04
GTH-RG-04
SIAU-RG-03
CE-RG-04
TES-RG-05
GD-RG-01
GD-RG-03
GD-RG-04
S-RG-02
S-RG-03
CO-RG-02
GT-RG-01
GT-RG-02
GM-RG-01
CI-RG-03</t>
  </si>
  <si>
    <t xml:space="preserve"> Novedades de (cuadros de turno, bonificaciones, horas extras, recargos, incapacidades etc).</t>
  </si>
  <si>
    <t>GA-RG-03</t>
  </si>
  <si>
    <t>La  persona delegada en Talento Humano  realiza seguimiento mensual de las inducciones presentadas, en la base de datos TH-F-75</t>
  </si>
  <si>
    <t>Formatos diligenciados TH-F-71</t>
  </si>
  <si>
    <t xml:space="preserve">Base de datos para registro del personal nuevo TH-F-75 y el formato TH-F35 formato de inducción y reinducción en el puesto de trabajo. </t>
  </si>
  <si>
    <t>La profesional de nómina verifica, una vez surja el requerimiento, el cumplimiento de requisitos exigidos para autorización de libranzas y créditos y mensualmente aplica el repectivo descuento de nómina de acuerdo a la factura emitida por la entidad financiera aplicando lo establecido en el Procedimiento Autorización de Libranzas y Créditos TH-PR-13  a través del Formato de control de Autorizaciones de Libranzas y Creditos TH-F-17</t>
  </si>
  <si>
    <t xml:space="preserve">1. No adherencia a  los protocolos institucionales.
2. Actos inseguros.
3. Falta de autocuidado.                                                                                                                                                                                                                                                                                                                                    4. Condiciones Inseguras </t>
  </si>
  <si>
    <t>Posibilidad de perdidas economicas, materiales  o humanas por  la ocurrencia de accidentes de trabajo</t>
  </si>
  <si>
    <t xml:space="preserve">
Posibilidad de perdidas economicas o humanas por el desarrollo de enfermedad laboral de los trabajadores </t>
  </si>
  <si>
    <t xml:space="preserve">1. Condición insegura.
2. Mediciónes ambientales sin intervención                                                                                                                                                                                                                                                                                           3. Exposicion prologanda a factores de riesgo 
</t>
  </si>
  <si>
    <t xml:space="preserve">1. Desconocimiento de la normativa legal vigente 
2. Falta de adherencia programa de sustancias quimicas                                                                                                                                                                                                                                                                           3.  Falta de capacitacion  </t>
  </si>
  <si>
    <t xml:space="preserve">1. CA-F-18 Acta de reunión </t>
  </si>
  <si>
    <t>1. Relación de contratos suscritos del periodo evalaudo
2. Formatos C-F-27 Y C-F-28 Estudios de conveniencia de prestación de servicios y ECO                                                                                                                                                                                                    3. Requerimientos, subasta inversa o convocatoria pública, respectivamente</t>
  </si>
  <si>
    <t>Indicador 1224 Procentaje Mantenimientos Preventivos</t>
  </si>
  <si>
    <t xml:space="preserve">1. No ejecutar los mantenimiento programados
2. No realizar la reposición de equipos
3. Falta de recursos económicos </t>
  </si>
  <si>
    <t xml:space="preserve">1. CAR-F-14 Matriz General de Cartera por Entidad                                                                                                                                                                                                                                                                                           2. Actas de conciliación                                                                                                                                                                                                                                                                                                                                   3. Informe trimestral                                                                                                                                                                                                                                                                                                                                          4. Acta de Comite </t>
  </si>
  <si>
    <t>La persona delegada en Talento Humano solicita el  diligenciamiento del formato TH-F-71 compromiso de Inducción y re-inducción,  cada vez que ingrese una persona a laborar en la entidad</t>
  </si>
  <si>
    <t xml:space="preserve">1. SST-F-86 Cronogrma de inspecciones                                  </t>
  </si>
  <si>
    <t xml:space="preserve">1. Inventario de gases refrigerantes                                                                                                                                                                                                                                                                                                       </t>
  </si>
  <si>
    <t xml:space="preserve">1. Registro en google forms                                                                                                                                                                                                                                                                                                                                </t>
  </si>
  <si>
    <t>1. Rotación de talento humano                                                                                           2. Falta de capacitación</t>
  </si>
  <si>
    <t>El abogado de gestión juridica asignado al caso y cuando aplique, realiza las gestiones necesarias en las áreas correspondientes para elaborar respuesta y presentarla en los téminos concedidos por el despacho, conforme a lo establecido en el procedimiento OAJ-PR-02 Contestación Acción de Tutela, así como su trazabilidad la realiza a través de la matriz OAJ-F-08 Registro de Acciones de Tutela.</t>
  </si>
  <si>
    <t>OAJ-F-08 Registro de acciones de tutela</t>
  </si>
  <si>
    <t>Consolidado de reintegro de CDP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</si>
</sst>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1"/>
      <color theme="1"/>
      <name val="Aptos Narrow"/>
      <family val="2"/>
      <scheme val="minor"/>
    </font>
    <font>
      <sz val="11"/>
      <color theme="1"/>
      <name val="Aptos Narrow"/>
      <family val="2"/>
      <scheme val="minor"/>
    </font>
    <font>
      <sz val="11"/>
      <color rgb="FFFF0000"/>
      <name val="Aptos Narrow"/>
      <family val="2"/>
      <scheme val="minor"/>
    </font>
    <font>
      <b/>
      <sz val="11"/>
      <color theme="1"/>
      <name val="Aptos Narrow"/>
      <family val="2"/>
      <scheme val="minor"/>
    </font>
    <font>
      <sz val="11"/>
      <color theme="0"/>
      <name val="Aptos Narrow"/>
      <family val="2"/>
      <scheme val="minor"/>
    </font>
    <font>
      <sz val="10"/>
      <name val="Tahoma"/>
      <family val="2"/>
    </font>
    <font>
      <b/>
      <sz val="10"/>
      <name val="Tahoma"/>
      <family val="2"/>
    </font>
    <font>
      <sz val="10"/>
      <color theme="1"/>
      <name val="Aptos Narrow"/>
      <family val="2"/>
      <scheme val="minor"/>
    </font>
    <font>
      <b/>
      <sz val="8"/>
      <name val="Tahoma"/>
      <family val="2"/>
    </font>
    <font>
      <sz val="10"/>
      <color theme="1"/>
      <name val="Tahoma"/>
      <family val="2"/>
    </font>
    <font>
      <b/>
      <sz val="10"/>
      <color theme="1"/>
      <name val="Tahoma"/>
      <family val="2"/>
    </font>
    <font>
      <b/>
      <sz val="9"/>
      <color indexed="81"/>
      <name val="Tahoma"/>
      <family val="2"/>
    </font>
    <font>
      <sz val="9"/>
      <color indexed="81"/>
      <name val="Tahoma"/>
      <family val="2"/>
    </font>
    <font>
      <sz val="11"/>
      <color rgb="FF000000"/>
      <name val="Aptos Narrow"/>
      <family val="2"/>
      <scheme val="minor"/>
    </font>
    <font>
      <sz val="11"/>
      <color rgb="FFFFFFFF"/>
      <name val="Aptos Narrow"/>
      <family val="2"/>
      <scheme val="minor"/>
    </font>
    <font>
      <b/>
      <sz val="10"/>
      <color theme="1"/>
      <name val="Arial"/>
      <family val="2"/>
    </font>
    <font>
      <b/>
      <sz val="10.5"/>
      <color rgb="FF000000"/>
      <name val="Arial"/>
      <family val="2"/>
    </font>
    <font>
      <sz val="10.5"/>
      <color rgb="FF000000"/>
      <name val="Arial"/>
      <family val="2"/>
    </font>
    <font>
      <sz val="10.5"/>
      <color rgb="FFFFFFFF"/>
      <name val="Arial"/>
      <family val="2"/>
    </font>
    <font>
      <sz val="10.5"/>
      <color theme="1"/>
      <name val="Arial"/>
      <family val="2"/>
    </font>
    <font>
      <sz val="10"/>
      <color rgb="FFFF0000"/>
      <name val="Tahoma"/>
      <family val="2"/>
    </font>
    <font>
      <sz val="8"/>
      <name val="Aptos Narrow"/>
      <family val="2"/>
      <scheme val="minor"/>
    </font>
    <font>
      <sz val="10"/>
      <color rgb="FF000000"/>
      <name val="Tahoma"/>
      <family val="2"/>
    </font>
    <font>
      <b/>
      <sz val="10"/>
      <color rgb="FF27285D"/>
      <name val="Tahoma"/>
      <family val="2"/>
    </font>
    <font>
      <u/>
      <sz val="10"/>
      <color theme="1"/>
      <name val="Tahoma"/>
      <family val="2"/>
    </font>
    <font>
      <b/>
      <sz val="8"/>
      <color theme="1"/>
      <name val="Tahoma"/>
      <family val="2"/>
    </font>
  </fonts>
  <fills count="45">
    <fill>
      <patternFill patternType="none"/>
    </fill>
    <fill>
      <patternFill patternType="gray125"/>
    </fill>
    <fill>
      <patternFill patternType="solid">
        <fgColor theme="0"/>
        <bgColor indexed="64"/>
      </patternFill>
    </fill>
    <fill>
      <patternFill patternType="solid">
        <fgColor rgb="FFC5D9F1"/>
        <bgColor indexed="64"/>
      </patternFill>
    </fill>
    <fill>
      <patternFill patternType="solid">
        <fgColor rgb="FFD1C0DA"/>
        <bgColor indexed="64"/>
      </patternFill>
    </fill>
    <fill>
      <patternFill patternType="solid">
        <fgColor rgb="FFF2DCDB"/>
        <bgColor indexed="64"/>
      </patternFill>
    </fill>
    <fill>
      <patternFill patternType="solid">
        <fgColor rgb="FFEBF1DE"/>
        <bgColor indexed="64"/>
      </patternFill>
    </fill>
    <fill>
      <patternFill patternType="solid">
        <fgColor rgb="FFFCD5B4"/>
        <bgColor indexed="64"/>
      </patternFill>
    </fill>
    <fill>
      <patternFill patternType="solid">
        <fgColor rgb="FFDCE6F1"/>
        <bgColor indexed="64"/>
      </patternFill>
    </fill>
    <fill>
      <patternFill patternType="solid">
        <fgColor rgb="FFE4DFEC"/>
        <bgColor indexed="64"/>
      </patternFill>
    </fill>
    <fill>
      <patternFill patternType="solid">
        <fgColor rgb="FFFDE9D9"/>
        <bgColor indexed="64"/>
      </patternFill>
    </fill>
    <fill>
      <patternFill patternType="solid">
        <fgColor rgb="FFFFFF00"/>
        <bgColor indexed="64"/>
      </patternFill>
    </fill>
    <fill>
      <patternFill patternType="solid">
        <fgColor rgb="FFE26B0A"/>
        <bgColor indexed="64"/>
      </patternFill>
    </fill>
    <fill>
      <patternFill patternType="solid">
        <fgColor rgb="FFC00000"/>
        <bgColor indexed="64"/>
      </patternFill>
    </fill>
    <fill>
      <patternFill patternType="solid">
        <fgColor rgb="FF92D050"/>
        <bgColor indexed="64"/>
      </patternFill>
    </fill>
    <fill>
      <patternFill patternType="solid">
        <fgColor rgb="FF00B050"/>
        <bgColor indexed="64"/>
      </patternFill>
    </fill>
    <fill>
      <patternFill patternType="solid">
        <fgColor rgb="FFFFFF66"/>
        <bgColor indexed="64"/>
      </patternFill>
    </fill>
    <fill>
      <patternFill patternType="solid">
        <fgColor rgb="FFFFC000"/>
        <bgColor indexed="64"/>
      </patternFill>
    </fill>
    <fill>
      <patternFill patternType="solid">
        <fgColor rgb="FFFF0000"/>
        <bgColor indexed="64"/>
      </patternFill>
    </fill>
    <fill>
      <patternFill patternType="solid">
        <fgColor rgb="FF00FF00"/>
        <bgColor indexed="64"/>
      </patternFill>
    </fill>
    <fill>
      <patternFill patternType="solid">
        <fgColor rgb="FFD8C5FF"/>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rgb="FFFFFFFF"/>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0" tint="-0.34998626667073579"/>
        <bgColor indexed="64"/>
      </patternFill>
    </fill>
    <fill>
      <patternFill patternType="solid">
        <fgColor theme="7" tint="0.59999389629810485"/>
        <bgColor indexed="64"/>
      </patternFill>
    </fill>
    <fill>
      <patternFill patternType="solid">
        <fgColor rgb="FFDBF3F9"/>
        <bgColor indexed="64"/>
      </patternFill>
    </fill>
    <fill>
      <patternFill patternType="solid">
        <fgColor rgb="FFDBF3F9"/>
        <bgColor rgb="FF00FFFF"/>
      </patternFill>
    </fill>
    <fill>
      <patternFill patternType="solid">
        <fgColor rgb="FFDBF3F9"/>
        <bgColor rgb="FFEAD1DC"/>
      </patternFill>
    </fill>
    <fill>
      <patternFill patternType="solid">
        <fgColor rgb="FFDBF3F9"/>
        <bgColor rgb="FFB6D7A8"/>
      </patternFill>
    </fill>
    <fill>
      <patternFill patternType="solid">
        <fgColor rgb="FFDBF3F9"/>
        <bgColor rgb="FFA4C2F4"/>
      </patternFill>
    </fill>
    <fill>
      <patternFill patternType="solid">
        <fgColor rgb="FFDBF3F9"/>
        <bgColor rgb="FFFFE599"/>
      </patternFill>
    </fill>
    <fill>
      <patternFill patternType="solid">
        <fgColor theme="0"/>
        <bgColor theme="0"/>
      </patternFill>
    </fill>
    <fill>
      <patternFill patternType="solid">
        <fgColor rgb="FFDBF3F9"/>
        <bgColor rgb="FFEA9999"/>
      </patternFill>
    </fill>
    <fill>
      <patternFill patternType="solid">
        <fgColor rgb="FFDBF3F9"/>
        <bgColor rgb="FFE06666"/>
      </patternFill>
    </fill>
    <fill>
      <patternFill patternType="solid">
        <fgColor rgb="FFDBF3F9"/>
        <bgColor rgb="FFB4A7D6"/>
      </patternFill>
    </fill>
    <fill>
      <patternFill patternType="solid">
        <fgColor rgb="FF00CCFF"/>
        <bgColor indexed="64"/>
      </patternFill>
    </fill>
    <fill>
      <patternFill patternType="solid">
        <fgColor theme="0" tint="-0.249977111117893"/>
        <bgColor indexed="64"/>
      </patternFill>
    </fill>
    <fill>
      <patternFill patternType="solid">
        <fgColor rgb="FF66CCFF"/>
        <bgColor indexed="64"/>
      </patternFill>
    </fill>
  </fills>
  <borders count="95">
    <border>
      <left/>
      <right/>
      <top/>
      <bottom/>
      <diagonal/>
    </border>
    <border>
      <left style="thin">
        <color indexed="64"/>
      </left>
      <right/>
      <top style="thin">
        <color indexed="64"/>
      </top>
      <bottom/>
      <diagonal/>
    </border>
    <border>
      <left/>
      <right/>
      <top style="thin">
        <color auto="1"/>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style="thin">
        <color theme="1"/>
      </right>
      <top style="thin">
        <color auto="1"/>
      </top>
      <bottom style="thin">
        <color auto="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indexed="64"/>
      </right>
      <top style="thin">
        <color theme="1"/>
      </top>
      <bottom style="thin">
        <color theme="1"/>
      </bottom>
      <diagonal/>
    </border>
    <border>
      <left style="thin">
        <color auto="1"/>
      </left>
      <right style="thin">
        <color auto="1"/>
      </right>
      <top style="thin">
        <color auto="1"/>
      </top>
      <bottom/>
      <diagonal/>
    </border>
    <border>
      <left style="thin">
        <color theme="1"/>
      </left>
      <right style="thin">
        <color theme="1"/>
      </right>
      <top style="thin">
        <color theme="1"/>
      </top>
      <bottom/>
      <diagonal/>
    </border>
    <border>
      <left style="thin">
        <color theme="1"/>
      </left>
      <right/>
      <top style="thin">
        <color theme="1"/>
      </top>
      <bottom/>
      <diagonal/>
    </border>
    <border>
      <left/>
      <right style="thin">
        <color theme="1"/>
      </right>
      <top style="thin">
        <color theme="1"/>
      </top>
      <bottom/>
      <diagonal/>
    </border>
    <border>
      <left style="thin">
        <color theme="1"/>
      </left>
      <right style="thin">
        <color auto="1"/>
      </right>
      <top style="thin">
        <color theme="1"/>
      </top>
      <bottom/>
      <diagonal/>
    </border>
    <border>
      <left style="thin">
        <color indexed="64"/>
      </left>
      <right style="thin">
        <color indexed="64"/>
      </right>
      <top/>
      <bottom style="thin">
        <color indexed="64"/>
      </bottom>
      <diagonal/>
    </border>
    <border>
      <left style="thin">
        <color theme="1"/>
      </left>
      <right style="thin">
        <color theme="1"/>
      </right>
      <top/>
      <bottom style="thin">
        <color indexed="64"/>
      </bottom>
      <diagonal/>
    </border>
    <border>
      <left style="thin">
        <color theme="1"/>
      </left>
      <right/>
      <top/>
      <bottom style="thin">
        <color indexed="64"/>
      </bottom>
      <diagonal/>
    </border>
    <border>
      <left/>
      <right style="thin">
        <color theme="1"/>
      </right>
      <top/>
      <bottom style="thin">
        <color indexed="64"/>
      </bottom>
      <diagonal/>
    </border>
    <border>
      <left style="thin">
        <color theme="1"/>
      </left>
      <right style="thin">
        <color auto="1"/>
      </right>
      <top/>
      <bottom style="thin">
        <color auto="1"/>
      </bottom>
      <diagonal/>
    </border>
    <border>
      <left style="thin">
        <color indexed="64"/>
      </left>
      <right/>
      <top style="thin">
        <color theme="1"/>
      </top>
      <bottom/>
      <diagonal/>
    </border>
    <border>
      <left/>
      <right/>
      <top style="thin">
        <color theme="1"/>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auto="1"/>
      </left>
      <right/>
      <top/>
      <bottom/>
      <diagonal/>
    </border>
    <border>
      <left/>
      <right style="thin">
        <color indexed="64"/>
      </right>
      <top/>
      <bottom/>
      <diagonal/>
    </border>
    <border>
      <left style="thin">
        <color theme="1"/>
      </left>
      <right/>
      <top/>
      <bottom/>
      <diagonal/>
    </border>
    <border>
      <left/>
      <right style="thin">
        <color theme="1"/>
      </right>
      <top/>
      <bottom/>
      <diagonal/>
    </border>
    <border>
      <left style="medium">
        <color indexed="64"/>
      </left>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3">
    <xf numFmtId="0" fontId="0" fillId="0" borderId="0"/>
    <xf numFmtId="9" fontId="1" fillId="0" borderId="0" applyFont="0" applyFill="0" applyBorder="0" applyAlignment="0" applyProtection="0"/>
    <xf numFmtId="0" fontId="7" fillId="0" borderId="0"/>
  </cellStyleXfs>
  <cellXfs count="742">
    <xf numFmtId="0" fontId="0" fillId="0" borderId="0" xfId="0"/>
    <xf numFmtId="0" fontId="5" fillId="0" borderId="0" xfId="0" applyFont="1" applyAlignment="1">
      <alignment horizontal="center" vertical="center"/>
    </xf>
    <xf numFmtId="0" fontId="5" fillId="0" borderId="0" xfId="0" applyFont="1"/>
    <xf numFmtId="0" fontId="9" fillId="0" borderId="0" xfId="0" applyFont="1" applyAlignment="1">
      <alignment vertical="center"/>
    </xf>
    <xf numFmtId="0" fontId="9" fillId="0" borderId="0" xfId="0" applyFont="1"/>
    <xf numFmtId="0" fontId="10" fillId="5" borderId="4" xfId="0" applyFont="1" applyFill="1" applyBorder="1" applyAlignment="1">
      <alignment horizontal="center" vertical="center"/>
    </xf>
    <xf numFmtId="0" fontId="10" fillId="5" borderId="4" xfId="0" applyFont="1" applyFill="1" applyBorder="1" applyAlignment="1">
      <alignment horizontal="center" vertical="center" textRotation="90"/>
    </xf>
    <xf numFmtId="0" fontId="7" fillId="0" borderId="27" xfId="0" applyFont="1" applyBorder="1" applyAlignment="1">
      <alignment horizontal="center" vertical="center" wrapText="1"/>
    </xf>
    <xf numFmtId="9" fontId="7" fillId="0" borderId="30" xfId="0" applyNumberFormat="1" applyFont="1" applyBorder="1" applyAlignment="1">
      <alignment horizontal="center" vertical="center" wrapText="1"/>
    </xf>
    <xf numFmtId="0" fontId="7" fillId="0" borderId="28" xfId="0" applyFont="1" applyBorder="1" applyAlignment="1">
      <alignment horizontal="center" vertical="center" wrapText="1"/>
    </xf>
    <xf numFmtId="9" fontId="7" fillId="0" borderId="31" xfId="0" applyNumberFormat="1" applyFont="1" applyBorder="1" applyAlignment="1">
      <alignment horizontal="center" vertical="center" wrapText="1"/>
    </xf>
    <xf numFmtId="0" fontId="0" fillId="0" borderId="0" xfId="0" applyAlignment="1">
      <alignment horizontal="center" vertical="center" wrapText="1"/>
    </xf>
    <xf numFmtId="0" fontId="16" fillId="0" borderId="37" xfId="0" applyFont="1" applyBorder="1" applyAlignment="1">
      <alignment horizontal="center" vertical="center" wrapText="1"/>
    </xf>
    <xf numFmtId="0" fontId="17" fillId="14" borderId="30" xfId="0" applyFont="1" applyFill="1" applyBorder="1" applyAlignment="1">
      <alignment horizontal="center" vertical="center" wrapText="1"/>
    </xf>
    <xf numFmtId="9" fontId="17" fillId="0" borderId="31" xfId="1" applyFont="1" applyBorder="1" applyAlignment="1">
      <alignment horizontal="center" vertical="center" wrapText="1"/>
    </xf>
    <xf numFmtId="0" fontId="17" fillId="0" borderId="31" xfId="0" applyFont="1" applyBorder="1" applyAlignment="1">
      <alignment horizontal="justify" vertical="center" wrapText="1"/>
    </xf>
    <xf numFmtId="9" fontId="4" fillId="0" borderId="0" xfId="1" applyFont="1"/>
    <xf numFmtId="0" fontId="4" fillId="0" borderId="0" xfId="0" applyFont="1"/>
    <xf numFmtId="0" fontId="17" fillId="15" borderId="30" xfId="0" applyFont="1" applyFill="1" applyBorder="1" applyAlignment="1">
      <alignment horizontal="center" vertical="center" wrapText="1"/>
    </xf>
    <xf numFmtId="0" fontId="17" fillId="16" borderId="30" xfId="0" applyFont="1" applyFill="1" applyBorder="1" applyAlignment="1">
      <alignment horizontal="center" vertical="center" wrapText="1"/>
    </xf>
    <xf numFmtId="0" fontId="17" fillId="17" borderId="30" xfId="0" applyFont="1" applyFill="1" applyBorder="1" applyAlignment="1">
      <alignment horizontal="center" vertical="center" wrapText="1"/>
    </xf>
    <xf numFmtId="0" fontId="18" fillId="18" borderId="30" xfId="0" applyFont="1" applyFill="1" applyBorder="1" applyAlignment="1">
      <alignment horizontal="center" vertical="center" wrapText="1"/>
    </xf>
    <xf numFmtId="9" fontId="0" fillId="0" borderId="0" xfId="1" applyFont="1"/>
    <xf numFmtId="0" fontId="0" fillId="0" borderId="4" xfId="0" applyBorder="1" applyAlignment="1">
      <alignment horizontal="center" vertical="center" wrapText="1"/>
    </xf>
    <xf numFmtId="0" fontId="0" fillId="0" borderId="0" xfId="0" applyAlignment="1">
      <alignment horizontal="center" vertical="center"/>
    </xf>
    <xf numFmtId="0" fontId="0" fillId="0" borderId="4" xfId="0" applyBorder="1" applyAlignment="1">
      <alignment horizontal="center" vertical="center"/>
    </xf>
    <xf numFmtId="0" fontId="9" fillId="0" borderId="4" xfId="0" applyFont="1" applyBorder="1" applyAlignment="1">
      <alignment horizontal="center" vertical="center"/>
    </xf>
    <xf numFmtId="9" fontId="9" fillId="0" borderId="4" xfId="1" applyFont="1" applyBorder="1" applyAlignment="1">
      <alignment horizontal="center" vertical="center"/>
    </xf>
    <xf numFmtId="0" fontId="9" fillId="0" borderId="4" xfId="0" applyFont="1" applyBorder="1" applyAlignment="1">
      <alignment horizontal="center" vertical="center" wrapText="1"/>
    </xf>
    <xf numFmtId="9" fontId="4" fillId="0" borderId="0" xfId="1" applyFont="1" applyFill="1"/>
    <xf numFmtId="0" fontId="9" fillId="0" borderId="0" xfId="0" applyFont="1" applyAlignment="1">
      <alignment horizontal="center" vertical="center"/>
    </xf>
    <xf numFmtId="0" fontId="9" fillId="0" borderId="0" xfId="0" applyFont="1" applyAlignment="1">
      <alignment horizontal="center" vertical="center" wrapText="1"/>
    </xf>
    <xf numFmtId="0" fontId="0" fillId="0" borderId="8" xfId="0" applyBorder="1" applyAlignment="1">
      <alignment horizontal="center" vertical="center"/>
    </xf>
    <xf numFmtId="0" fontId="10" fillId="6" borderId="14"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9" fillId="0" borderId="4" xfId="0" applyFont="1" applyBorder="1" applyAlignment="1" applyProtection="1">
      <alignment horizontal="center" vertical="center"/>
      <protection hidden="1"/>
    </xf>
    <xf numFmtId="9" fontId="9" fillId="0" borderId="4" xfId="0" applyNumberFormat="1" applyFont="1" applyBorder="1" applyAlignment="1" applyProtection="1">
      <alignment horizontal="center" vertical="center"/>
      <protection hidden="1"/>
    </xf>
    <xf numFmtId="0" fontId="10" fillId="0" borderId="4" xfId="0" applyFont="1" applyBorder="1" applyAlignment="1" applyProtection="1">
      <alignment horizontal="center" vertical="center" wrapText="1"/>
      <protection hidden="1"/>
    </xf>
    <xf numFmtId="0" fontId="5" fillId="0" borderId="4" xfId="0" applyFont="1" applyBorder="1" applyAlignment="1" applyProtection="1">
      <alignment horizontal="center" vertical="center" wrapText="1"/>
      <protection locked="0"/>
    </xf>
    <xf numFmtId="0" fontId="5" fillId="0" borderId="4" xfId="0" applyFont="1" applyBorder="1" applyAlignment="1">
      <alignment horizontal="center" vertical="center" wrapText="1"/>
    </xf>
    <xf numFmtId="0" fontId="5" fillId="0" borderId="4" xfId="0" applyFont="1" applyBorder="1" applyAlignment="1">
      <alignment horizontal="center" vertical="center"/>
    </xf>
    <xf numFmtId="0" fontId="5" fillId="0" borderId="4" xfId="0" applyFont="1" applyBorder="1" applyAlignment="1" applyProtection="1">
      <alignment horizontal="center" vertical="center"/>
      <protection locked="0"/>
    </xf>
    <xf numFmtId="0" fontId="9" fillId="0" borderId="4" xfId="0" applyFont="1" applyBorder="1" applyAlignment="1">
      <alignment horizontal="center" vertical="center" textRotation="90"/>
    </xf>
    <xf numFmtId="9" fontId="9" fillId="0" borderId="4" xfId="0" applyNumberFormat="1" applyFont="1" applyBorder="1" applyAlignment="1" applyProtection="1">
      <alignment horizontal="center" vertical="center" textRotation="90"/>
      <protection hidden="1"/>
    </xf>
    <xf numFmtId="17" fontId="5" fillId="0" borderId="4" xfId="0" applyNumberFormat="1" applyFont="1" applyBorder="1" applyAlignment="1">
      <alignment horizontal="center" vertical="center"/>
    </xf>
    <xf numFmtId="0" fontId="20" fillId="0" borderId="4" xfId="0" applyFont="1" applyBorder="1" applyAlignment="1">
      <alignment horizontal="center" vertical="center" wrapText="1"/>
    </xf>
    <xf numFmtId="0" fontId="5" fillId="0" borderId="15" xfId="0" applyFont="1" applyBorder="1" applyAlignment="1" applyProtection="1">
      <alignment horizontal="center" vertical="center" wrapText="1"/>
      <protection locked="0"/>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5" fillId="0" borderId="15" xfId="0" applyFont="1" applyBorder="1" applyAlignment="1">
      <alignment horizontal="center" vertical="center" wrapText="1"/>
    </xf>
    <xf numFmtId="0" fontId="9" fillId="2" borderId="0" xfId="0" applyFont="1" applyFill="1"/>
    <xf numFmtId="0" fontId="10" fillId="0" borderId="43" xfId="0" applyFont="1" applyBorder="1" applyAlignment="1">
      <alignment horizontal="center" vertical="center"/>
    </xf>
    <xf numFmtId="0" fontId="10" fillId="0" borderId="48" xfId="0" applyFont="1" applyBorder="1" applyAlignment="1">
      <alignment horizontal="center" vertical="center"/>
    </xf>
    <xf numFmtId="0" fontId="10" fillId="21" borderId="4" xfId="0" applyFont="1" applyFill="1" applyBorder="1" applyAlignment="1">
      <alignment horizontal="center" vertical="center" textRotation="90"/>
    </xf>
    <xf numFmtId="0" fontId="9" fillId="24" borderId="4" xfId="0" applyFont="1" applyFill="1" applyBorder="1" applyAlignment="1">
      <alignment horizontal="center" vertical="center"/>
    </xf>
    <xf numFmtId="0" fontId="10" fillId="24" borderId="15" xfId="0" applyFont="1" applyFill="1" applyBorder="1" applyAlignment="1">
      <alignment horizontal="center"/>
    </xf>
    <xf numFmtId="0" fontId="10" fillId="20" borderId="15" xfId="0" applyFont="1" applyFill="1" applyBorder="1" applyAlignment="1">
      <alignment horizontal="center" vertical="center"/>
    </xf>
    <xf numFmtId="0" fontId="9" fillId="24" borderId="8" xfId="0" applyFont="1" applyFill="1" applyBorder="1" applyAlignment="1">
      <alignment horizontal="center" vertical="center"/>
    </xf>
    <xf numFmtId="0" fontId="9" fillId="0" borderId="49" xfId="0" applyFont="1" applyBorder="1" applyAlignment="1">
      <alignment horizontal="justify" vertical="center" wrapText="1"/>
    </xf>
    <xf numFmtId="0" fontId="9" fillId="17" borderId="50" xfId="0" applyFont="1" applyFill="1" applyBorder="1" applyAlignment="1">
      <alignment horizontal="justify" vertical="center" wrapText="1"/>
    </xf>
    <xf numFmtId="0" fontId="9" fillId="17" borderId="43" xfId="0" applyFont="1" applyFill="1" applyBorder="1" applyAlignment="1">
      <alignment horizontal="justify" vertical="center" wrapText="1"/>
    </xf>
    <xf numFmtId="0" fontId="9" fillId="17" borderId="51" xfId="0" applyFont="1" applyFill="1" applyBorder="1" applyAlignment="1">
      <alignment horizontal="justify" vertical="center" wrapText="1"/>
    </xf>
    <xf numFmtId="0" fontId="9" fillId="17" borderId="4" xfId="0" applyFont="1" applyFill="1" applyBorder="1" applyAlignment="1">
      <alignment vertical="center" wrapText="1"/>
    </xf>
    <xf numFmtId="0" fontId="9" fillId="17" borderId="4" xfId="0" applyFont="1" applyFill="1" applyBorder="1" applyAlignment="1">
      <alignment horizontal="justify" vertical="center" wrapText="1"/>
    </xf>
    <xf numFmtId="0" fontId="9" fillId="17" borderId="52" xfId="0" applyFont="1" applyFill="1" applyBorder="1" applyAlignment="1">
      <alignment horizontal="justify" vertical="center" wrapText="1"/>
    </xf>
    <xf numFmtId="0" fontId="9" fillId="0" borderId="4" xfId="0" applyFont="1" applyBorder="1" applyAlignment="1">
      <alignment horizontal="justify" vertical="center" wrapText="1"/>
    </xf>
    <xf numFmtId="0" fontId="9" fillId="0" borderId="51" xfId="0" applyFont="1" applyBorder="1" applyAlignment="1">
      <alignment horizontal="justify" vertical="center" wrapText="1"/>
    </xf>
    <xf numFmtId="0" fontId="9" fillId="0" borderId="4" xfId="0" applyFont="1" applyBorder="1" applyAlignment="1">
      <alignment vertical="center" wrapText="1"/>
    </xf>
    <xf numFmtId="0" fontId="9" fillId="0" borderId="52" xfId="0" applyFont="1" applyBorder="1" applyAlignment="1">
      <alignment horizontal="justify" vertical="center" wrapText="1"/>
    </xf>
    <xf numFmtId="0" fontId="5" fillId="0" borderId="51" xfId="0" applyFont="1" applyBorder="1" applyAlignment="1">
      <alignment horizontal="justify" vertical="center" wrapText="1"/>
    </xf>
    <xf numFmtId="0" fontId="5" fillId="17" borderId="51" xfId="0" applyFont="1" applyFill="1" applyBorder="1" applyAlignment="1">
      <alignment horizontal="justify" vertical="center" wrapText="1"/>
    </xf>
    <xf numFmtId="0" fontId="9" fillId="2" borderId="52" xfId="0" applyFont="1" applyFill="1" applyBorder="1" applyAlignment="1">
      <alignment vertical="center" wrapText="1"/>
    </xf>
    <xf numFmtId="0" fontId="5" fillId="17" borderId="53" xfId="0" applyFont="1" applyFill="1" applyBorder="1" applyAlignment="1">
      <alignment horizontal="justify" vertical="center" wrapText="1"/>
    </xf>
    <xf numFmtId="0" fontId="9" fillId="0" borderId="54" xfId="0" applyFont="1" applyBorder="1" applyAlignment="1">
      <alignment vertical="center" wrapText="1"/>
    </xf>
    <xf numFmtId="0" fontId="9" fillId="0" borderId="54" xfId="0" applyFont="1" applyBorder="1" applyAlignment="1">
      <alignment horizontal="justify" vertical="center" wrapText="1"/>
    </xf>
    <xf numFmtId="0" fontId="9" fillId="2" borderId="48" xfId="0" applyFont="1" applyFill="1" applyBorder="1" applyAlignment="1">
      <alignment vertical="center" wrapText="1"/>
    </xf>
    <xf numFmtId="0" fontId="9" fillId="0" borderId="49" xfId="0" applyFont="1" applyBorder="1" applyAlignment="1">
      <alignment vertical="center" wrapText="1"/>
    </xf>
    <xf numFmtId="0" fontId="9" fillId="25" borderId="50" xfId="0" applyFont="1" applyFill="1" applyBorder="1" applyAlignment="1">
      <alignment vertical="center" wrapText="1"/>
    </xf>
    <xf numFmtId="0" fontId="9" fillId="25" borderId="43" xfId="0" applyFont="1" applyFill="1" applyBorder="1" applyAlignment="1">
      <alignment vertical="center" wrapText="1"/>
    </xf>
    <xf numFmtId="0" fontId="9" fillId="25" borderId="51" xfId="0" applyFont="1" applyFill="1" applyBorder="1" applyAlignment="1">
      <alignment vertical="center" wrapText="1"/>
    </xf>
    <xf numFmtId="0" fontId="9" fillId="25" borderId="4" xfId="0" applyFont="1" applyFill="1" applyBorder="1" applyAlignment="1">
      <alignment vertical="center" wrapText="1"/>
    </xf>
    <xf numFmtId="0" fontId="9" fillId="0" borderId="52" xfId="0" applyFont="1" applyBorder="1" applyAlignment="1">
      <alignment vertical="center" wrapText="1"/>
    </xf>
    <xf numFmtId="0" fontId="9" fillId="0" borderId="51" xfId="0" applyFont="1" applyBorder="1" applyAlignment="1">
      <alignment vertical="center" wrapText="1"/>
    </xf>
    <xf numFmtId="0" fontId="9" fillId="0" borderId="4" xfId="0" applyFont="1" applyBorder="1" applyAlignment="1">
      <alignment vertical="top" wrapText="1"/>
    </xf>
    <xf numFmtId="0" fontId="9" fillId="25" borderId="52" xfId="0" applyFont="1" applyFill="1" applyBorder="1" applyAlignment="1">
      <alignment vertical="center" wrapText="1"/>
    </xf>
    <xf numFmtId="0" fontId="9" fillId="25" borderId="4" xfId="0" applyFont="1" applyFill="1" applyBorder="1" applyAlignment="1">
      <alignment vertical="top" wrapText="1"/>
    </xf>
    <xf numFmtId="0" fontId="9" fillId="0" borderId="4" xfId="0" applyFont="1" applyBorder="1" applyAlignment="1">
      <alignment horizontal="center"/>
    </xf>
    <xf numFmtId="0" fontId="9" fillId="2" borderId="52" xfId="0" applyFont="1" applyFill="1" applyBorder="1" applyAlignment="1">
      <alignment vertical="center"/>
    </xf>
    <xf numFmtId="0" fontId="9" fillId="0" borderId="51" xfId="0" applyFont="1" applyBorder="1"/>
    <xf numFmtId="0" fontId="9" fillId="0" borderId="53" xfId="0" applyFont="1" applyBorder="1"/>
    <xf numFmtId="0" fontId="9" fillId="0" borderId="54" xfId="0" applyFont="1" applyBorder="1" applyAlignment="1">
      <alignment horizontal="center"/>
    </xf>
    <xf numFmtId="0" fontId="9" fillId="2" borderId="48" xfId="0" applyFont="1" applyFill="1" applyBorder="1" applyAlignment="1">
      <alignment vertical="center"/>
    </xf>
    <xf numFmtId="0" fontId="9" fillId="0" borderId="50" xfId="0" applyFont="1" applyBorder="1" applyAlignment="1">
      <alignment vertical="center" wrapText="1"/>
    </xf>
    <xf numFmtId="0" fontId="9" fillId="0" borderId="50" xfId="0" applyFont="1" applyBorder="1" applyAlignment="1">
      <alignment horizontal="left" vertical="center" wrapText="1"/>
    </xf>
    <xf numFmtId="0" fontId="9" fillId="0" borderId="43" xfId="0" applyFont="1" applyBorder="1" applyAlignment="1">
      <alignment vertical="center" wrapText="1"/>
    </xf>
    <xf numFmtId="0" fontId="9" fillId="0" borderId="51" xfId="0" applyFont="1" applyBorder="1" applyAlignment="1">
      <alignment wrapText="1"/>
    </xf>
    <xf numFmtId="0" fontId="9" fillId="0" borderId="4" xfId="0" applyFont="1" applyBorder="1" applyAlignment="1">
      <alignment horizontal="left" vertical="center" wrapText="1"/>
    </xf>
    <xf numFmtId="0" fontId="9" fillId="0" borderId="4" xfId="0" applyFont="1" applyBorder="1" applyAlignment="1">
      <alignment horizontal="left"/>
    </xf>
    <xf numFmtId="0" fontId="9" fillId="0" borderId="52" xfId="0" applyFont="1" applyBorder="1" applyAlignment="1">
      <alignment horizontal="left" vertical="center" wrapText="1"/>
    </xf>
    <xf numFmtId="0" fontId="9" fillId="0" borderId="53" xfId="0" applyFont="1" applyBorder="1" applyAlignment="1">
      <alignment wrapText="1"/>
    </xf>
    <xf numFmtId="0" fontId="9" fillId="0" borderId="48" xfId="0" applyFont="1" applyBorder="1" applyAlignment="1">
      <alignment vertical="center"/>
    </xf>
    <xf numFmtId="0" fontId="9" fillId="22" borderId="49" xfId="0" applyFont="1" applyFill="1" applyBorder="1" applyAlignment="1">
      <alignment horizontal="left" vertical="center" wrapText="1"/>
    </xf>
    <xf numFmtId="0" fontId="9" fillId="22" borderId="50" xfId="0" applyFont="1" applyFill="1" applyBorder="1" applyAlignment="1">
      <alignment horizontal="left" vertical="center" wrapText="1"/>
    </xf>
    <xf numFmtId="0" fontId="9" fillId="0" borderId="43" xfId="0" applyFont="1" applyBorder="1" applyAlignment="1">
      <alignment horizontal="left" vertical="center" wrapText="1"/>
    </xf>
    <xf numFmtId="0" fontId="9" fillId="0" borderId="51" xfId="0" applyFont="1" applyBorder="1" applyAlignment="1">
      <alignment horizontal="left" vertical="center" wrapText="1"/>
    </xf>
    <xf numFmtId="0" fontId="9" fillId="22" borderId="4" xfId="0" applyFont="1" applyFill="1" applyBorder="1" applyAlignment="1">
      <alignment horizontal="left" vertical="center" wrapText="1"/>
    </xf>
    <xf numFmtId="0" fontId="9" fillId="22" borderId="52" xfId="0" applyFont="1" applyFill="1" applyBorder="1" applyAlignment="1">
      <alignment horizontal="left" vertical="center" wrapText="1"/>
    </xf>
    <xf numFmtId="0" fontId="9" fillId="22" borderId="51" xfId="0" applyFont="1" applyFill="1" applyBorder="1" applyAlignment="1">
      <alignment horizontal="left" vertical="center" wrapText="1"/>
    </xf>
    <xf numFmtId="0" fontId="9" fillId="0" borderId="53" xfId="0" applyFont="1" applyBorder="1" applyAlignment="1">
      <alignment horizontal="left" vertical="center" wrapText="1"/>
    </xf>
    <xf numFmtId="0" fontId="9" fillId="0" borderId="54" xfId="0" applyFont="1" applyBorder="1" applyAlignment="1">
      <alignment horizontal="left" vertical="center" wrapText="1"/>
    </xf>
    <xf numFmtId="0" fontId="9" fillId="0" borderId="48" xfId="0" applyFont="1" applyBorder="1" applyAlignment="1">
      <alignment horizontal="left" vertical="center" wrapText="1"/>
    </xf>
    <xf numFmtId="0" fontId="9" fillId="21" borderId="50" xfId="0" applyFont="1" applyFill="1" applyBorder="1" applyAlignment="1">
      <alignment vertical="center" wrapText="1"/>
    </xf>
    <xf numFmtId="0" fontId="9" fillId="21" borderId="50" xfId="0" applyFont="1" applyFill="1" applyBorder="1" applyAlignment="1">
      <alignment horizontal="left" vertical="center" wrapText="1"/>
    </xf>
    <xf numFmtId="0" fontId="9" fillId="21" borderId="43" xfId="0" applyFont="1" applyFill="1" applyBorder="1" applyAlignment="1">
      <alignment vertical="center"/>
    </xf>
    <xf numFmtId="0" fontId="9" fillId="21" borderId="51" xfId="0" applyFont="1" applyFill="1" applyBorder="1" applyAlignment="1">
      <alignment vertical="center" wrapText="1"/>
    </xf>
    <xf numFmtId="0" fontId="9" fillId="21" borderId="4" xfId="0" applyFont="1" applyFill="1" applyBorder="1" applyAlignment="1">
      <alignment horizontal="left" vertical="center" wrapText="1"/>
    </xf>
    <xf numFmtId="0" fontId="9" fillId="21" borderId="52" xfId="0" applyFont="1" applyFill="1" applyBorder="1" applyAlignment="1">
      <alignment vertical="center" wrapText="1"/>
    </xf>
    <xf numFmtId="0" fontId="9" fillId="21" borderId="4" xfId="0" applyFont="1" applyFill="1" applyBorder="1" applyAlignment="1">
      <alignment vertical="center" wrapText="1"/>
    </xf>
    <xf numFmtId="0" fontId="9" fillId="0" borderId="4" xfId="0" applyFont="1" applyBorder="1" applyAlignment="1">
      <alignment horizontal="left" vertical="center"/>
    </xf>
    <xf numFmtId="0" fontId="9" fillId="0" borderId="52" xfId="0" applyFont="1" applyBorder="1" applyAlignment="1">
      <alignment vertical="center"/>
    </xf>
    <xf numFmtId="0" fontId="9" fillId="0" borderId="53" xfId="0" applyFont="1" applyBorder="1" applyAlignment="1">
      <alignment vertical="center" wrapText="1"/>
    </xf>
    <xf numFmtId="0" fontId="9" fillId="0" borderId="54" xfId="0" applyFont="1" applyBorder="1" applyAlignment="1">
      <alignment vertical="center"/>
    </xf>
    <xf numFmtId="0" fontId="9" fillId="0" borderId="54" xfId="0" applyFont="1" applyBorder="1" applyAlignment="1">
      <alignment horizontal="center" vertical="center"/>
    </xf>
    <xf numFmtId="0" fontId="9" fillId="26" borderId="50" xfId="0" applyFont="1" applyFill="1" applyBorder="1" applyAlignment="1">
      <alignment vertical="center" wrapText="1"/>
    </xf>
    <xf numFmtId="0" fontId="9" fillId="2" borderId="43" xfId="0" applyFont="1" applyFill="1" applyBorder="1" applyAlignment="1">
      <alignment vertical="center" wrapText="1"/>
    </xf>
    <xf numFmtId="0" fontId="9" fillId="26" borderId="4" xfId="0" applyFont="1" applyFill="1" applyBorder="1" applyAlignment="1">
      <alignment vertical="center" wrapText="1"/>
    </xf>
    <xf numFmtId="0" fontId="9" fillId="26" borderId="4" xfId="0" applyFont="1" applyFill="1" applyBorder="1" applyAlignment="1">
      <alignment horizontal="left" vertical="center" wrapText="1"/>
    </xf>
    <xf numFmtId="0" fontId="9" fillId="26" borderId="52" xfId="0" applyFont="1" applyFill="1" applyBorder="1" applyAlignment="1">
      <alignment vertical="center" wrapText="1"/>
    </xf>
    <xf numFmtId="0" fontId="9" fillId="26" borderId="51" xfId="0" applyFont="1" applyFill="1" applyBorder="1" applyAlignment="1">
      <alignment vertical="center" wrapText="1"/>
    </xf>
    <xf numFmtId="0" fontId="9" fillId="0" borderId="49" xfId="0" applyFont="1" applyBorder="1" applyAlignment="1">
      <alignment vertical="center"/>
    </xf>
    <xf numFmtId="0" fontId="9" fillId="0" borderId="50" xfId="0" applyFont="1" applyBorder="1" applyAlignment="1">
      <alignment horizontal="justify" vertical="center"/>
    </xf>
    <xf numFmtId="0" fontId="22" fillId="27" borderId="43" xfId="0" applyFont="1" applyFill="1" applyBorder="1" applyAlignment="1">
      <alignment vertical="center" wrapText="1"/>
    </xf>
    <xf numFmtId="0" fontId="22" fillId="27" borderId="52" xfId="0" applyFont="1" applyFill="1" applyBorder="1" applyAlignment="1">
      <alignment vertical="center" wrapText="1"/>
    </xf>
    <xf numFmtId="0" fontId="9" fillId="0" borderId="51" xfId="0" applyFont="1" applyBorder="1" applyAlignment="1">
      <alignment vertical="center"/>
    </xf>
    <xf numFmtId="0" fontId="9" fillId="2" borderId="55" xfId="0" applyFont="1" applyFill="1" applyBorder="1" applyAlignment="1">
      <alignment vertical="center"/>
    </xf>
    <xf numFmtId="0" fontId="22" fillId="0" borderId="4" xfId="0" applyFont="1" applyBorder="1" applyAlignment="1">
      <alignment vertical="center" wrapText="1"/>
    </xf>
    <xf numFmtId="0" fontId="9" fillId="0" borderId="10" xfId="0" applyFont="1" applyBorder="1" applyAlignment="1">
      <alignment horizontal="center" vertical="center"/>
    </xf>
    <xf numFmtId="0" fontId="9" fillId="0" borderId="56" xfId="0" applyFont="1" applyBorder="1" applyAlignment="1">
      <alignment wrapText="1"/>
    </xf>
    <xf numFmtId="0" fontId="9" fillId="2" borderId="48" xfId="0" applyFont="1" applyFill="1" applyBorder="1"/>
    <xf numFmtId="0" fontId="22" fillId="0" borderId="49" xfId="0" applyFont="1" applyBorder="1" applyAlignment="1">
      <alignment horizontal="left" vertical="center" wrapText="1"/>
    </xf>
    <xf numFmtId="0" fontId="22" fillId="0" borderId="50" xfId="0" applyFont="1" applyBorder="1" applyAlignment="1">
      <alignment horizontal="left" vertical="center" wrapText="1"/>
    </xf>
    <xf numFmtId="0" fontId="22" fillId="0" borderId="43" xfId="0" applyFont="1" applyBorder="1" applyAlignment="1">
      <alignment horizontal="left" vertical="center" wrapText="1"/>
    </xf>
    <xf numFmtId="0" fontId="22" fillId="0" borderId="51" xfId="0" applyFont="1" applyBorder="1" applyAlignment="1">
      <alignment horizontal="left" vertical="center" wrapText="1"/>
    </xf>
    <xf numFmtId="0" fontId="22" fillId="26" borderId="4" xfId="0" applyFont="1" applyFill="1" applyBorder="1" applyAlignment="1">
      <alignment horizontal="left" vertical="center" wrapText="1"/>
    </xf>
    <xf numFmtId="0" fontId="22" fillId="0" borderId="4" xfId="0" applyFont="1" applyBorder="1" applyAlignment="1">
      <alignment horizontal="left" vertical="center"/>
    </xf>
    <xf numFmtId="0" fontId="22" fillId="26" borderId="52" xfId="0" applyFont="1" applyFill="1" applyBorder="1" applyAlignment="1">
      <alignment horizontal="left" vertical="center" wrapText="1"/>
    </xf>
    <xf numFmtId="0" fontId="22" fillId="26" borderId="51" xfId="0" applyFont="1" applyFill="1" applyBorder="1" applyAlignment="1">
      <alignment horizontal="left" vertical="center" wrapText="1"/>
    </xf>
    <xf numFmtId="0" fontId="22" fillId="0" borderId="4" xfId="0" applyFont="1" applyBorder="1" applyAlignment="1">
      <alignment horizontal="left" vertical="center" wrapText="1"/>
    </xf>
    <xf numFmtId="0" fontId="22" fillId="27" borderId="52" xfId="0" applyFont="1" applyFill="1" applyBorder="1" applyAlignment="1">
      <alignment horizontal="left" vertical="center" wrapText="1"/>
    </xf>
    <xf numFmtId="0" fontId="22" fillId="0" borderId="53" xfId="0" applyFont="1" applyBorder="1" applyAlignment="1">
      <alignment horizontal="left" vertical="center" wrapText="1"/>
    </xf>
    <xf numFmtId="0" fontId="22" fillId="0" borderId="54" xfId="0" applyFont="1" applyBorder="1" applyAlignment="1">
      <alignment horizontal="left" vertical="center" wrapText="1"/>
    </xf>
    <xf numFmtId="0" fontId="22" fillId="0" borderId="48" xfId="0" applyFont="1" applyBorder="1" applyAlignment="1">
      <alignment horizontal="left" vertical="center" wrapText="1"/>
    </xf>
    <xf numFmtId="0" fontId="9" fillId="2" borderId="50" xfId="0" applyFont="1" applyFill="1" applyBorder="1" applyAlignment="1">
      <alignment horizontal="left" vertical="center" wrapText="1"/>
    </xf>
    <xf numFmtId="0" fontId="9" fillId="22" borderId="43" xfId="0" applyFont="1" applyFill="1" applyBorder="1" applyAlignment="1">
      <alignment horizontal="left" vertical="center" wrapText="1"/>
    </xf>
    <xf numFmtId="0" fontId="9" fillId="2" borderId="51" xfId="0" applyFont="1" applyFill="1" applyBorder="1" applyAlignment="1">
      <alignment horizontal="left" vertical="center" wrapText="1"/>
    </xf>
    <xf numFmtId="0" fontId="9" fillId="2" borderId="52" xfId="0" applyFont="1" applyFill="1" applyBorder="1" applyAlignment="1">
      <alignment horizontal="left" vertical="center" wrapText="1"/>
    </xf>
    <xf numFmtId="0" fontId="9" fillId="2" borderId="4" xfId="0" applyFont="1" applyFill="1" applyBorder="1" applyAlignment="1">
      <alignment horizontal="left" vertical="center" wrapText="1"/>
    </xf>
    <xf numFmtId="0" fontId="9" fillId="0" borderId="28" xfId="0" applyFont="1" applyBorder="1" applyAlignment="1">
      <alignment horizontal="left" vertical="center"/>
    </xf>
    <xf numFmtId="0" fontId="9" fillId="0" borderId="51" xfId="0" applyFont="1" applyBorder="1" applyAlignment="1">
      <alignment horizontal="left" vertical="center"/>
    </xf>
    <xf numFmtId="0" fontId="9" fillId="2" borderId="57" xfId="0" applyFont="1" applyFill="1" applyBorder="1" applyAlignment="1">
      <alignment horizontal="left" vertical="center"/>
    </xf>
    <xf numFmtId="0" fontId="9" fillId="2" borderId="15" xfId="0" applyFont="1" applyFill="1" applyBorder="1" applyAlignment="1">
      <alignment horizontal="left" vertical="center" wrapText="1"/>
    </xf>
    <xf numFmtId="0" fontId="9" fillId="2" borderId="58" xfId="0" applyFont="1" applyFill="1" applyBorder="1" applyAlignment="1">
      <alignment horizontal="left" vertical="center" wrapText="1"/>
    </xf>
    <xf numFmtId="0" fontId="22" fillId="28" borderId="49" xfId="0" applyFont="1" applyFill="1" applyBorder="1" applyAlignment="1">
      <alignment horizontal="left" vertical="center" wrapText="1"/>
    </xf>
    <xf numFmtId="0" fontId="22" fillId="28" borderId="43" xfId="0" applyFont="1" applyFill="1" applyBorder="1" applyAlignment="1">
      <alignment horizontal="left" vertical="center" wrapText="1"/>
    </xf>
    <xf numFmtId="0" fontId="22" fillId="28" borderId="4" xfId="0" applyFont="1" applyFill="1" applyBorder="1" applyAlignment="1">
      <alignment horizontal="left" vertical="center" wrapText="1"/>
    </xf>
    <xf numFmtId="0" fontId="22" fillId="27" borderId="52" xfId="0" applyFont="1" applyFill="1" applyBorder="1" applyAlignment="1">
      <alignment horizontal="left" vertical="center"/>
    </xf>
    <xf numFmtId="0" fontId="22" fillId="28" borderId="52" xfId="0" applyFont="1" applyFill="1" applyBorder="1" applyAlignment="1">
      <alignment horizontal="left" vertical="center" wrapText="1"/>
    </xf>
    <xf numFmtId="0" fontId="22" fillId="28" borderId="51" xfId="0" applyFont="1" applyFill="1" applyBorder="1" applyAlignment="1">
      <alignment horizontal="left" vertical="center" wrapText="1"/>
    </xf>
    <xf numFmtId="0" fontId="22" fillId="0" borderId="51" xfId="0" applyFont="1" applyBorder="1" applyAlignment="1">
      <alignment horizontal="left" vertical="center"/>
    </xf>
    <xf numFmtId="0" fontId="9" fillId="28" borderId="52" xfId="0" applyFont="1" applyFill="1" applyBorder="1" applyAlignment="1">
      <alignment vertical="center" wrapText="1"/>
    </xf>
    <xf numFmtId="0" fontId="9" fillId="28" borderId="4" xfId="0" applyFont="1" applyFill="1" applyBorder="1" applyAlignment="1">
      <alignment vertical="center" wrapText="1"/>
    </xf>
    <xf numFmtId="0" fontId="9" fillId="28" borderId="54" xfId="0" applyFont="1" applyFill="1" applyBorder="1" applyAlignment="1">
      <alignment vertical="center" wrapText="1"/>
    </xf>
    <xf numFmtId="0" fontId="9" fillId="0" borderId="48" xfId="0" applyFont="1" applyBorder="1" applyAlignment="1">
      <alignment vertical="center" wrapText="1"/>
    </xf>
    <xf numFmtId="0" fontId="9" fillId="20" borderId="49" xfId="0" applyFont="1" applyFill="1" applyBorder="1" applyAlignment="1">
      <alignment horizontal="left" vertical="center" wrapText="1"/>
    </xf>
    <xf numFmtId="0" fontId="9" fillId="20" borderId="50" xfId="0" applyFont="1" applyFill="1" applyBorder="1" applyAlignment="1">
      <alignment horizontal="left" vertical="center" wrapText="1"/>
    </xf>
    <xf numFmtId="0" fontId="9" fillId="20" borderId="43" xfId="0" applyFont="1" applyFill="1" applyBorder="1" applyAlignment="1">
      <alignment horizontal="left" vertical="center" wrapText="1"/>
    </xf>
    <xf numFmtId="0" fontId="5" fillId="20" borderId="4" xfId="0" applyFont="1" applyFill="1" applyBorder="1" applyAlignment="1">
      <alignment horizontal="left" vertical="center" wrapText="1"/>
    </xf>
    <xf numFmtId="0" fontId="5" fillId="20" borderId="52" xfId="0" applyFont="1" applyFill="1" applyBorder="1" applyAlignment="1">
      <alignment horizontal="left" vertical="center" wrapText="1"/>
    </xf>
    <xf numFmtId="0" fontId="5" fillId="0" borderId="4" xfId="0" applyFont="1" applyBorder="1" applyAlignment="1">
      <alignment horizontal="left" vertical="center" wrapText="1"/>
    </xf>
    <xf numFmtId="0" fontId="5" fillId="2" borderId="52" xfId="0" applyFont="1" applyFill="1" applyBorder="1" applyAlignment="1">
      <alignment horizontal="left" vertical="center" wrapText="1"/>
    </xf>
    <xf numFmtId="0" fontId="9" fillId="20" borderId="54" xfId="0" applyFont="1" applyFill="1" applyBorder="1" applyAlignment="1">
      <alignment horizontal="left" vertical="center" wrapText="1"/>
    </xf>
    <xf numFmtId="0" fontId="9" fillId="2" borderId="48" xfId="0" applyFont="1" applyFill="1" applyBorder="1" applyAlignment="1">
      <alignment horizontal="left" vertical="center" wrapText="1"/>
    </xf>
    <xf numFmtId="0" fontId="9" fillId="0" borderId="49" xfId="0" applyFont="1" applyBorder="1" applyAlignment="1">
      <alignment wrapText="1"/>
    </xf>
    <xf numFmtId="0" fontId="9" fillId="25" borderId="4" xfId="0" applyFont="1" applyFill="1" applyBorder="1" applyAlignment="1">
      <alignment horizontal="left" vertical="center" wrapText="1"/>
    </xf>
    <xf numFmtId="0" fontId="9" fillId="0" borderId="49" xfId="0" applyFont="1" applyBorder="1" applyAlignment="1">
      <alignment horizontal="left" wrapText="1"/>
    </xf>
    <xf numFmtId="0" fontId="9" fillId="0" borderId="50" xfId="0" applyFont="1" applyBorder="1" applyAlignment="1">
      <alignment horizontal="left" vertical="center"/>
    </xf>
    <xf numFmtId="0" fontId="9" fillId="0" borderId="50" xfId="0" applyFont="1" applyBorder="1" applyAlignment="1">
      <alignment horizontal="left" wrapText="1"/>
    </xf>
    <xf numFmtId="0" fontId="9" fillId="29" borderId="43" xfId="0" applyFont="1" applyFill="1" applyBorder="1" applyAlignment="1">
      <alignment horizontal="left" vertical="center" wrapText="1"/>
    </xf>
    <xf numFmtId="0" fontId="9" fillId="29" borderId="51" xfId="0" applyFont="1" applyFill="1" applyBorder="1" applyAlignment="1">
      <alignment horizontal="left" vertical="center" wrapText="1"/>
    </xf>
    <xf numFmtId="0" fontId="9" fillId="0" borderId="4" xfId="0" applyFont="1" applyBorder="1" applyAlignment="1">
      <alignment horizontal="left" wrapText="1"/>
    </xf>
    <xf numFmtId="0" fontId="9" fillId="29" borderId="4" xfId="0" applyFont="1" applyFill="1" applyBorder="1" applyAlignment="1">
      <alignment horizontal="left" vertical="center" wrapText="1"/>
    </xf>
    <xf numFmtId="0" fontId="9" fillId="2" borderId="52" xfId="0" applyFont="1" applyFill="1" applyBorder="1" applyAlignment="1">
      <alignment horizontal="left" wrapText="1"/>
    </xf>
    <xf numFmtId="0" fontId="9" fillId="0" borderId="51" xfId="0" applyFont="1" applyBorder="1" applyAlignment="1">
      <alignment horizontal="left" wrapText="1"/>
    </xf>
    <xf numFmtId="0" fontId="9" fillId="29" borderId="51" xfId="0" applyFont="1" applyFill="1" applyBorder="1" applyAlignment="1">
      <alignment horizontal="left" vertical="center"/>
    </xf>
    <xf numFmtId="0" fontId="9" fillId="0" borderId="51" xfId="0" applyFont="1" applyBorder="1" applyAlignment="1">
      <alignment horizontal="left"/>
    </xf>
    <xf numFmtId="0" fontId="9" fillId="2" borderId="52" xfId="0" applyFont="1" applyFill="1" applyBorder="1" applyAlignment="1">
      <alignment horizontal="left"/>
    </xf>
    <xf numFmtId="0" fontId="9" fillId="0" borderId="53" xfId="0" applyFont="1" applyBorder="1" applyAlignment="1">
      <alignment horizontal="left"/>
    </xf>
    <xf numFmtId="0" fontId="9" fillId="29" borderId="54" xfId="0" applyFont="1" applyFill="1" applyBorder="1" applyAlignment="1">
      <alignment horizontal="left" vertical="center" wrapText="1"/>
    </xf>
    <xf numFmtId="0" fontId="9" fillId="0" borderId="54" xfId="0" applyFont="1" applyBorder="1" applyAlignment="1">
      <alignment horizontal="left"/>
    </xf>
    <xf numFmtId="0" fontId="9" fillId="2" borderId="48" xfId="0" applyFont="1" applyFill="1" applyBorder="1" applyAlignment="1">
      <alignment horizontal="left"/>
    </xf>
    <xf numFmtId="0" fontId="9" fillId="30" borderId="49" xfId="0" applyFont="1" applyFill="1" applyBorder="1" applyAlignment="1">
      <alignment horizontal="left" vertical="center" wrapText="1"/>
    </xf>
    <xf numFmtId="0" fontId="9" fillId="30" borderId="50" xfId="0" applyFont="1" applyFill="1" applyBorder="1" applyAlignment="1">
      <alignment horizontal="left" vertical="center" wrapText="1"/>
    </xf>
    <xf numFmtId="0" fontId="9" fillId="2" borderId="43" xfId="0" applyFont="1" applyFill="1" applyBorder="1" applyAlignment="1">
      <alignment horizontal="left" vertical="center" wrapText="1"/>
    </xf>
    <xf numFmtId="0" fontId="9" fillId="30" borderId="4" xfId="0" applyFont="1" applyFill="1" applyBorder="1" applyAlignment="1">
      <alignment horizontal="left" vertical="center" wrapText="1"/>
    </xf>
    <xf numFmtId="0" fontId="9" fillId="30" borderId="52" xfId="0" applyFont="1" applyFill="1" applyBorder="1" applyAlignment="1">
      <alignment horizontal="left" vertical="center" wrapText="1"/>
    </xf>
    <xf numFmtId="0" fontId="9" fillId="30" borderId="51" xfId="0" applyFont="1" applyFill="1" applyBorder="1" applyAlignment="1">
      <alignment horizontal="left" vertical="center" wrapText="1"/>
    </xf>
    <xf numFmtId="0" fontId="9" fillId="2" borderId="59" xfId="0" applyFont="1" applyFill="1" applyBorder="1" applyAlignment="1">
      <alignment horizontal="left" vertical="center" wrapText="1"/>
    </xf>
    <xf numFmtId="0" fontId="9" fillId="0" borderId="57" xfId="0" applyFont="1" applyBorder="1" applyAlignment="1">
      <alignment horizontal="left" vertical="center"/>
    </xf>
    <xf numFmtId="0" fontId="9" fillId="30" borderId="15" xfId="0" applyFont="1" applyFill="1" applyBorder="1" applyAlignment="1">
      <alignment horizontal="left" vertical="center" wrapText="1"/>
    </xf>
    <xf numFmtId="0" fontId="9" fillId="31" borderId="50" xfId="0" applyFont="1" applyFill="1" applyBorder="1" applyAlignment="1">
      <alignment horizontal="left" vertical="center" wrapText="1"/>
    </xf>
    <xf numFmtId="0" fontId="9" fillId="31" borderId="43" xfId="0" applyFont="1" applyFill="1" applyBorder="1" applyAlignment="1">
      <alignment vertical="center" wrapText="1"/>
    </xf>
    <xf numFmtId="0" fontId="9" fillId="31" borderId="4" xfId="0" applyFont="1" applyFill="1" applyBorder="1" applyAlignment="1">
      <alignment wrapText="1"/>
    </xf>
    <xf numFmtId="0" fontId="9" fillId="31" borderId="4" xfId="0" applyFont="1" applyFill="1" applyBorder="1" applyAlignment="1">
      <alignment horizontal="left" vertical="center" wrapText="1"/>
    </xf>
    <xf numFmtId="0" fontId="9" fillId="31" borderId="51" xfId="0" applyFont="1" applyFill="1" applyBorder="1" applyAlignment="1">
      <alignment vertical="center" wrapText="1"/>
    </xf>
    <xf numFmtId="0" fontId="9" fillId="31" borderId="51" xfId="0" applyFont="1" applyFill="1" applyBorder="1" applyAlignment="1">
      <alignment wrapText="1"/>
    </xf>
    <xf numFmtId="0" fontId="9" fillId="31" borderId="4" xfId="0" applyFont="1" applyFill="1" applyBorder="1" applyAlignment="1">
      <alignment vertical="center" wrapText="1"/>
    </xf>
    <xf numFmtId="0" fontId="5" fillId="0" borderId="4" xfId="0" applyFont="1" applyBorder="1" applyAlignment="1">
      <alignment vertical="center" wrapText="1"/>
    </xf>
    <xf numFmtId="0" fontId="9" fillId="2" borderId="52" xfId="0" applyFont="1" applyFill="1" applyBorder="1"/>
    <xf numFmtId="0" fontId="9" fillId="0" borderId="54" xfId="0" applyFont="1" applyBorder="1" applyAlignment="1">
      <alignment wrapText="1"/>
    </xf>
    <xf numFmtId="0" fontId="5" fillId="32" borderId="49" xfId="0" applyFont="1" applyFill="1" applyBorder="1" applyAlignment="1">
      <alignment horizontal="left" vertical="center" wrapText="1"/>
    </xf>
    <xf numFmtId="0" fontId="5" fillId="32" borderId="50" xfId="0" applyFont="1" applyFill="1" applyBorder="1" applyAlignment="1">
      <alignment horizontal="left" vertical="center" wrapText="1"/>
    </xf>
    <xf numFmtId="0" fontId="5" fillId="0" borderId="43" xfId="0" applyFont="1" applyBorder="1" applyAlignment="1">
      <alignment horizontal="left" vertical="center" wrapText="1"/>
    </xf>
    <xf numFmtId="0" fontId="5" fillId="32" borderId="51" xfId="0" applyFont="1" applyFill="1" applyBorder="1" applyAlignment="1">
      <alignment horizontal="left" vertical="center" wrapText="1"/>
    </xf>
    <xf numFmtId="0" fontId="5" fillId="32" borderId="4" xfId="0" applyFont="1" applyFill="1" applyBorder="1" applyAlignment="1">
      <alignment horizontal="left" vertical="center" wrapText="1"/>
    </xf>
    <xf numFmtId="0" fontId="5" fillId="32" borderId="52" xfId="0" applyFont="1" applyFill="1" applyBorder="1" applyAlignment="1">
      <alignment horizontal="left" vertical="center" wrapText="1"/>
    </xf>
    <xf numFmtId="0" fontId="5" fillId="0" borderId="51" xfId="0" applyFont="1" applyBorder="1" applyAlignment="1">
      <alignment horizontal="left" vertical="center" wrapText="1"/>
    </xf>
    <xf numFmtId="0" fontId="5" fillId="0" borderId="52" xfId="0" applyFont="1" applyBorder="1" applyAlignment="1">
      <alignment horizontal="left" vertical="center" wrapText="1"/>
    </xf>
    <xf numFmtId="0" fontId="5" fillId="32" borderId="52" xfId="0" applyFont="1" applyFill="1" applyBorder="1" applyAlignment="1">
      <alignment horizontal="left" wrapText="1"/>
    </xf>
    <xf numFmtId="0" fontId="5" fillId="0" borderId="4" xfId="0" applyFont="1" applyBorder="1" applyAlignment="1">
      <alignment horizontal="left"/>
    </xf>
    <xf numFmtId="0" fontId="5" fillId="32" borderId="51" xfId="0" applyFont="1" applyFill="1" applyBorder="1" applyAlignment="1">
      <alignment horizontal="center" vertical="center" wrapText="1"/>
    </xf>
    <xf numFmtId="0" fontId="5" fillId="32" borderId="4" xfId="0" applyFont="1" applyFill="1" applyBorder="1" applyAlignment="1">
      <alignment vertical="center" wrapText="1"/>
    </xf>
    <xf numFmtId="0" fontId="5" fillId="32" borderId="52" xfId="0" applyFont="1" applyFill="1" applyBorder="1" applyAlignment="1">
      <alignment horizontal="center" vertical="center" wrapText="1"/>
    </xf>
    <xf numFmtId="0" fontId="5" fillId="0" borderId="51" xfId="0" applyFont="1" applyBorder="1" applyAlignment="1">
      <alignment horizontal="center" vertical="center" wrapText="1"/>
    </xf>
    <xf numFmtId="0" fontId="5" fillId="2" borderId="52" xfId="0" applyFont="1" applyFill="1" applyBorder="1" applyAlignment="1">
      <alignment horizontal="left" wrapText="1"/>
    </xf>
    <xf numFmtId="0" fontId="5" fillId="33" borderId="60" xfId="0" applyFont="1" applyFill="1" applyBorder="1" applyAlignment="1">
      <alignment horizontal="left" vertical="center" wrapText="1"/>
    </xf>
    <xf numFmtId="0" fontId="5" fillId="34" borderId="61" xfId="0" applyFont="1" applyFill="1" applyBorder="1" applyAlignment="1">
      <alignment horizontal="left" vertical="center" wrapText="1"/>
    </xf>
    <xf numFmtId="0" fontId="5" fillId="33" borderId="61" xfId="0" applyFont="1" applyFill="1" applyBorder="1" applyAlignment="1">
      <alignment horizontal="left" vertical="center" wrapText="1"/>
    </xf>
    <xf numFmtId="0" fontId="5" fillId="35" borderId="62" xfId="0" applyFont="1" applyFill="1" applyBorder="1" applyAlignment="1">
      <alignment horizontal="left" vertical="center" wrapText="1"/>
    </xf>
    <xf numFmtId="0" fontId="5" fillId="36" borderId="60" xfId="0" applyFont="1" applyFill="1" applyBorder="1" applyAlignment="1">
      <alignment horizontal="left" vertical="center" wrapText="1"/>
    </xf>
    <xf numFmtId="0" fontId="5" fillId="37" borderId="61" xfId="0" applyFont="1" applyFill="1" applyBorder="1" applyAlignment="1">
      <alignment horizontal="left" vertical="center" wrapText="1"/>
    </xf>
    <xf numFmtId="0" fontId="5" fillId="38" borderId="62" xfId="0" applyFont="1" applyFill="1" applyBorder="1" applyAlignment="1">
      <alignment horizontal="left" vertical="center" wrapText="1"/>
    </xf>
    <xf numFmtId="0" fontId="5" fillId="35" borderId="61" xfId="0" applyFont="1" applyFill="1" applyBorder="1" applyAlignment="1">
      <alignment horizontal="left" vertical="center" wrapText="1"/>
    </xf>
    <xf numFmtId="0" fontId="5" fillId="0" borderId="0" xfId="0" applyFont="1" applyAlignment="1">
      <alignment horizontal="left" wrapText="1"/>
    </xf>
    <xf numFmtId="0" fontId="5" fillId="36" borderId="62" xfId="0" applyFont="1" applyFill="1" applyBorder="1" applyAlignment="1">
      <alignment horizontal="left" vertical="center" wrapText="1"/>
    </xf>
    <xf numFmtId="0" fontId="5" fillId="36" borderId="61" xfId="0" applyFont="1" applyFill="1" applyBorder="1" applyAlignment="1">
      <alignment horizontal="left" vertical="center" wrapText="1"/>
    </xf>
    <xf numFmtId="0" fontId="5" fillId="0" borderId="61" xfId="0" applyFont="1" applyBorder="1" applyAlignment="1">
      <alignment horizontal="left" vertical="center" wrapText="1"/>
    </xf>
    <xf numFmtId="0" fontId="5" fillId="34" borderId="62" xfId="0" applyFont="1" applyFill="1" applyBorder="1" applyAlignment="1">
      <alignment horizontal="left" vertical="center" wrapText="1"/>
    </xf>
    <xf numFmtId="0" fontId="5" fillId="39" borderId="61" xfId="0" applyFont="1" applyFill="1" applyBorder="1" applyAlignment="1">
      <alignment horizontal="left" vertical="center" wrapText="1"/>
    </xf>
    <xf numFmtId="0" fontId="5" fillId="0" borderId="61" xfId="0" applyFont="1" applyBorder="1" applyAlignment="1">
      <alignment horizontal="left" wrapText="1"/>
    </xf>
    <xf numFmtId="0" fontId="5" fillId="40" borderId="62" xfId="0" applyFont="1" applyFill="1" applyBorder="1" applyAlignment="1">
      <alignment horizontal="left" vertical="center" wrapText="1"/>
    </xf>
    <xf numFmtId="0" fontId="5" fillId="41" borderId="62" xfId="0" applyFont="1" applyFill="1" applyBorder="1" applyAlignment="1">
      <alignment horizontal="left" vertical="center" wrapText="1"/>
    </xf>
    <xf numFmtId="0" fontId="5" fillId="0" borderId="63" xfId="0" applyFont="1" applyBorder="1" applyAlignment="1">
      <alignment horizontal="left" vertical="center" wrapText="1"/>
    </xf>
    <xf numFmtId="0" fontId="5" fillId="41" borderId="64" xfId="0" applyFont="1" applyFill="1" applyBorder="1" applyAlignment="1">
      <alignment horizontal="left" vertical="center" wrapText="1"/>
    </xf>
    <xf numFmtId="0" fontId="5" fillId="0" borderId="64" xfId="0" applyFont="1" applyBorder="1" applyAlignment="1">
      <alignment horizontal="left" vertical="center" wrapText="1"/>
    </xf>
    <xf numFmtId="0" fontId="5" fillId="38" borderId="65" xfId="0" applyFont="1" applyFill="1" applyBorder="1" applyAlignment="1">
      <alignment horizontal="left" vertical="center" wrapText="1"/>
    </xf>
    <xf numFmtId="0" fontId="9" fillId="0" borderId="20" xfId="0" applyFont="1" applyBorder="1" applyAlignment="1">
      <alignment wrapText="1"/>
    </xf>
    <xf numFmtId="0" fontId="9" fillId="0" borderId="20" xfId="0" applyFont="1" applyBorder="1" applyAlignment="1">
      <alignment vertical="center" wrapText="1"/>
    </xf>
    <xf numFmtId="0" fontId="9" fillId="0" borderId="20" xfId="0" applyFont="1" applyBorder="1" applyAlignment="1">
      <alignment horizontal="center"/>
    </xf>
    <xf numFmtId="0" fontId="9" fillId="0" borderId="20" xfId="0" applyFont="1" applyBorder="1" applyAlignment="1">
      <alignment vertical="center"/>
    </xf>
    <xf numFmtId="0" fontId="9" fillId="0" borderId="4" xfId="0" applyFont="1" applyBorder="1" applyAlignment="1">
      <alignment wrapText="1"/>
    </xf>
    <xf numFmtId="0" fontId="9" fillId="0" borderId="4" xfId="0" applyFont="1" applyBorder="1" applyAlignment="1">
      <alignment vertical="center"/>
    </xf>
    <xf numFmtId="0" fontId="9" fillId="2" borderId="4" xfId="0" applyFont="1" applyFill="1" applyBorder="1" applyAlignment="1">
      <alignment vertical="center"/>
    </xf>
    <xf numFmtId="0" fontId="9" fillId="0" borderId="4" xfId="0" applyFont="1" applyBorder="1"/>
    <xf numFmtId="0" fontId="10" fillId="24" borderId="4" xfId="0" applyFont="1" applyFill="1" applyBorder="1" applyAlignment="1">
      <alignment horizontal="center" vertical="center"/>
    </xf>
    <xf numFmtId="0" fontId="10" fillId="21" borderId="20" xfId="0" applyFont="1" applyFill="1" applyBorder="1" applyAlignment="1">
      <alignment horizontal="center" vertical="center"/>
    </xf>
    <xf numFmtId="9" fontId="10" fillId="24" borderId="4" xfId="1" applyFont="1" applyFill="1" applyBorder="1" applyAlignment="1">
      <alignment horizontal="center" vertical="center"/>
    </xf>
    <xf numFmtId="9" fontId="10" fillId="0" borderId="4" xfId="0" applyNumberFormat="1" applyFont="1" applyBorder="1" applyAlignment="1">
      <alignment horizontal="center" vertical="center"/>
    </xf>
    <xf numFmtId="9" fontId="10" fillId="24" borderId="0" xfId="1" applyFont="1" applyFill="1" applyBorder="1" applyAlignment="1">
      <alignment horizontal="center" vertical="center"/>
    </xf>
    <xf numFmtId="9" fontId="10" fillId="0" borderId="0" xfId="1" applyFont="1" applyFill="1" applyBorder="1" applyAlignment="1">
      <alignment horizontal="center" vertical="center"/>
    </xf>
    <xf numFmtId="0" fontId="22" fillId="2" borderId="0" xfId="0" applyFont="1" applyFill="1" applyAlignment="1">
      <alignment vertical="center"/>
    </xf>
    <xf numFmtId="9" fontId="10" fillId="2" borderId="0" xfId="1" applyFont="1" applyFill="1" applyBorder="1" applyAlignment="1">
      <alignment horizontal="center" vertical="center"/>
    </xf>
    <xf numFmtId="0" fontId="10" fillId="20" borderId="8" xfId="0" applyFont="1" applyFill="1" applyBorder="1" applyAlignment="1">
      <alignment horizontal="center" vertical="center"/>
    </xf>
    <xf numFmtId="0" fontId="10" fillId="42" borderId="8" xfId="0" applyFont="1" applyFill="1" applyBorder="1" applyAlignment="1">
      <alignment horizontal="center" vertical="center"/>
    </xf>
    <xf numFmtId="0" fontId="10" fillId="20" borderId="4" xfId="0" applyFont="1" applyFill="1" applyBorder="1" applyAlignment="1">
      <alignment horizontal="center" vertical="center"/>
    </xf>
    <xf numFmtId="0" fontId="9" fillId="2" borderId="0" xfId="0" applyFont="1" applyFill="1" applyAlignment="1">
      <alignment vertical="center"/>
    </xf>
    <xf numFmtId="0" fontId="10" fillId="42" borderId="1" xfId="0" applyFont="1" applyFill="1" applyBorder="1" applyAlignment="1">
      <alignment vertical="center"/>
    </xf>
    <xf numFmtId="0" fontId="10" fillId="20" borderId="1" xfId="0" applyFont="1" applyFill="1" applyBorder="1" applyAlignment="1">
      <alignment horizontal="center" vertical="center"/>
    </xf>
    <xf numFmtId="0" fontId="10" fillId="42" borderId="1" xfId="0" applyFont="1" applyFill="1" applyBorder="1" applyAlignment="1">
      <alignment horizontal="center" vertical="center"/>
    </xf>
    <xf numFmtId="0" fontId="9" fillId="0" borderId="67" xfId="0" applyFont="1" applyBorder="1" applyAlignment="1">
      <alignment horizontal="left" vertical="center" wrapText="1"/>
    </xf>
    <xf numFmtId="0" fontId="9" fillId="17" borderId="50" xfId="0" applyFont="1" applyFill="1" applyBorder="1" applyAlignment="1">
      <alignment horizontal="left" vertical="top" wrapText="1"/>
    </xf>
    <xf numFmtId="0" fontId="9" fillId="0" borderId="4" xfId="0" applyFont="1" applyBorder="1" applyAlignment="1">
      <alignment horizontal="left" vertical="top" wrapText="1"/>
    </xf>
    <xf numFmtId="0" fontId="9" fillId="17" borderId="8" xfId="0" applyFont="1" applyFill="1" applyBorder="1" applyAlignment="1">
      <alignment horizontal="left" vertical="center" wrapText="1"/>
    </xf>
    <xf numFmtId="0" fontId="10" fillId="0" borderId="52" xfId="0" applyFont="1" applyBorder="1" applyAlignment="1">
      <alignment horizontal="left" vertical="center"/>
    </xf>
    <xf numFmtId="0" fontId="9" fillId="0" borderId="8" xfId="0" applyFont="1" applyBorder="1" applyAlignment="1">
      <alignment horizontal="left" vertical="center" wrapText="1"/>
    </xf>
    <xf numFmtId="0" fontId="9" fillId="0" borderId="70" xfId="0" applyFont="1" applyBorder="1" applyAlignment="1">
      <alignment horizontal="left" vertical="center" wrapText="1"/>
    </xf>
    <xf numFmtId="0" fontId="9" fillId="0" borderId="54" xfId="0" applyFont="1" applyBorder="1" applyAlignment="1">
      <alignment horizontal="left" vertical="top" wrapText="1"/>
    </xf>
    <xf numFmtId="0" fontId="10" fillId="0" borderId="48" xfId="0" applyFont="1" applyBorder="1" applyAlignment="1">
      <alignment horizontal="left" vertical="center"/>
    </xf>
    <xf numFmtId="0" fontId="10" fillId="0" borderId="43" xfId="0" applyFont="1" applyBorder="1" applyAlignment="1">
      <alignment horizontal="left" vertical="center"/>
    </xf>
    <xf numFmtId="0" fontId="9" fillId="25" borderId="54" xfId="0" applyFont="1" applyFill="1" applyBorder="1" applyAlignment="1">
      <alignment horizontal="left" vertical="center" wrapText="1"/>
    </xf>
    <xf numFmtId="0" fontId="9" fillId="0" borderId="55" xfId="0" applyFont="1" applyBorder="1" applyAlignment="1">
      <alignment horizontal="left" vertical="center" wrapText="1"/>
    </xf>
    <xf numFmtId="0" fontId="9" fillId="0" borderId="71" xfId="0" applyFont="1" applyBorder="1" applyAlignment="1">
      <alignment horizontal="center" vertical="center" textRotation="90" wrapText="1"/>
    </xf>
    <xf numFmtId="0" fontId="9" fillId="0" borderId="73" xfId="0" applyFont="1" applyBorder="1" applyAlignment="1">
      <alignment horizontal="left" vertical="center" wrapText="1"/>
    </xf>
    <xf numFmtId="0" fontId="9" fillId="22" borderId="74" xfId="0" applyFont="1" applyFill="1" applyBorder="1" applyAlignment="1">
      <alignment horizontal="left" vertical="center" wrapText="1"/>
    </xf>
    <xf numFmtId="0" fontId="9" fillId="22" borderId="75" xfId="0" applyFont="1" applyFill="1" applyBorder="1" applyAlignment="1">
      <alignment horizontal="left" vertical="center" wrapText="1"/>
    </xf>
    <xf numFmtId="0" fontId="9" fillId="21" borderId="67" xfId="0" applyFont="1" applyFill="1" applyBorder="1" applyAlignment="1">
      <alignment horizontal="left" vertical="center" wrapText="1"/>
    </xf>
    <xf numFmtId="0" fontId="9" fillId="21" borderId="43" xfId="0" applyFont="1" applyFill="1" applyBorder="1" applyAlignment="1">
      <alignment horizontal="left" vertical="center" wrapText="1"/>
    </xf>
    <xf numFmtId="0" fontId="10" fillId="0" borderId="8" xfId="0" applyFont="1" applyBorder="1" applyAlignment="1">
      <alignment horizontal="left" vertical="center"/>
    </xf>
    <xf numFmtId="0" fontId="10" fillId="0" borderId="4" xfId="0" applyFont="1" applyBorder="1" applyAlignment="1">
      <alignment horizontal="left" vertical="center"/>
    </xf>
    <xf numFmtId="0" fontId="10" fillId="0" borderId="70" xfId="0" applyFont="1" applyBorder="1" applyAlignment="1">
      <alignment horizontal="left" vertical="center"/>
    </xf>
    <xf numFmtId="0" fontId="10" fillId="0" borderId="54" xfId="0" applyFont="1" applyBorder="1" applyAlignment="1">
      <alignment horizontal="left" vertical="center"/>
    </xf>
    <xf numFmtId="0" fontId="9" fillId="26" borderId="67" xfId="0" applyFont="1" applyFill="1" applyBorder="1" applyAlignment="1">
      <alignment horizontal="left" vertical="center" wrapText="1"/>
    </xf>
    <xf numFmtId="0" fontId="9" fillId="26" borderId="50" xfId="0" applyFont="1" applyFill="1" applyBorder="1" applyAlignment="1">
      <alignment horizontal="left" vertical="center" wrapText="1"/>
    </xf>
    <xf numFmtId="0" fontId="9" fillId="0" borderId="8" xfId="0" applyFont="1" applyBorder="1" applyAlignment="1">
      <alignment vertical="center" wrapText="1"/>
    </xf>
    <xf numFmtId="0" fontId="9" fillId="26" borderId="54" xfId="0" applyFont="1" applyFill="1" applyBorder="1" applyAlignment="1">
      <alignment horizontal="left" vertical="center" wrapText="1"/>
    </xf>
    <xf numFmtId="0" fontId="5" fillId="0" borderId="50" xfId="0" applyFont="1" applyBorder="1" applyAlignment="1" applyProtection="1">
      <alignment horizontal="left" vertical="center" wrapText="1"/>
      <protection locked="0"/>
    </xf>
    <xf numFmtId="0" fontId="9" fillId="0" borderId="15" xfId="0" applyFont="1" applyBorder="1" applyAlignment="1">
      <alignment horizontal="left" vertical="center" wrapText="1"/>
    </xf>
    <xf numFmtId="0" fontId="22" fillId="0" borderId="15" xfId="0" applyFont="1" applyBorder="1" applyAlignment="1">
      <alignment horizontal="left" vertical="center" wrapText="1"/>
    </xf>
    <xf numFmtId="0" fontId="22" fillId="0" borderId="58" xfId="0" applyFont="1" applyBorder="1" applyAlignment="1">
      <alignment horizontal="left" vertical="center" wrapText="1"/>
    </xf>
    <xf numFmtId="0" fontId="9" fillId="0" borderId="50" xfId="0" applyFont="1" applyBorder="1" applyAlignment="1">
      <alignment horizontal="justify" vertical="center" wrapText="1"/>
    </xf>
    <xf numFmtId="0" fontId="9" fillId="28" borderId="50" xfId="0" applyFont="1" applyFill="1" applyBorder="1" applyAlignment="1">
      <alignment horizontal="justify" vertical="center" wrapText="1"/>
    </xf>
    <xf numFmtId="0" fontId="9" fillId="0" borderId="43" xfId="0" applyFont="1" applyBorder="1" applyAlignment="1">
      <alignment horizontal="justify" vertical="center" wrapText="1"/>
    </xf>
    <xf numFmtId="0" fontId="9" fillId="29" borderId="50" xfId="0" applyFont="1" applyFill="1" applyBorder="1" applyAlignment="1">
      <alignment horizontal="left" vertical="center" wrapText="1"/>
    </xf>
    <xf numFmtId="0" fontId="9" fillId="29" borderId="8" xfId="0" applyFont="1" applyFill="1" applyBorder="1" applyAlignment="1">
      <alignment horizontal="left" vertical="center" wrapText="1"/>
    </xf>
    <xf numFmtId="0" fontId="9" fillId="0" borderId="52" xfId="0" applyFont="1" applyBorder="1" applyAlignment="1">
      <alignment horizontal="left" wrapText="1"/>
    </xf>
    <xf numFmtId="0" fontId="9" fillId="0" borderId="54" xfId="0" applyFont="1" applyBorder="1" applyAlignment="1">
      <alignment horizontal="left" wrapText="1"/>
    </xf>
    <xf numFmtId="0" fontId="9" fillId="30" borderId="54" xfId="0" applyFont="1" applyFill="1" applyBorder="1" applyAlignment="1">
      <alignment horizontal="left" vertical="center" wrapText="1"/>
    </xf>
    <xf numFmtId="0" fontId="9" fillId="0" borderId="48" xfId="0" applyFont="1" applyBorder="1" applyAlignment="1">
      <alignment horizontal="left" wrapText="1"/>
    </xf>
    <xf numFmtId="0" fontId="5" fillId="21" borderId="67" xfId="0" applyFont="1" applyFill="1" applyBorder="1" applyAlignment="1">
      <alignment vertical="center" wrapText="1"/>
    </xf>
    <xf numFmtId="0" fontId="5" fillId="0" borderId="67" xfId="0" applyFont="1" applyBorder="1" applyAlignment="1">
      <alignment vertical="center" wrapText="1"/>
    </xf>
    <xf numFmtId="0" fontId="5" fillId="0" borderId="43" xfId="0" applyFont="1" applyBorder="1" applyAlignment="1">
      <alignment vertical="center" wrapText="1"/>
    </xf>
    <xf numFmtId="0" fontId="5" fillId="21" borderId="8" xfId="0" applyFont="1" applyFill="1" applyBorder="1" applyAlignment="1">
      <alignment vertical="center" wrapText="1"/>
    </xf>
    <xf numFmtId="0" fontId="5" fillId="0" borderId="8" xfId="0" applyFont="1" applyBorder="1" applyAlignment="1">
      <alignment vertical="center" wrapText="1"/>
    </xf>
    <xf numFmtId="0" fontId="5" fillId="21" borderId="52" xfId="0" applyFont="1" applyFill="1" applyBorder="1" applyAlignment="1">
      <alignment vertical="center" wrapText="1"/>
    </xf>
    <xf numFmtId="0" fontId="5" fillId="0" borderId="52" xfId="0" applyFont="1" applyBorder="1" applyAlignment="1">
      <alignment vertical="center" wrapText="1"/>
    </xf>
    <xf numFmtId="0" fontId="5" fillId="0" borderId="54" xfId="0" applyFont="1" applyBorder="1" applyAlignment="1">
      <alignment vertical="center" wrapText="1"/>
    </xf>
    <xf numFmtId="0" fontId="5" fillId="0" borderId="70" xfId="0" applyFont="1" applyBorder="1" applyAlignment="1">
      <alignment vertical="center" wrapText="1"/>
    </xf>
    <xf numFmtId="0" fontId="5" fillId="0" borderId="48" xfId="0" applyFont="1" applyBorder="1" applyAlignment="1">
      <alignment vertical="center" wrapText="1"/>
    </xf>
    <xf numFmtId="0" fontId="5" fillId="0" borderId="50" xfId="0" applyFont="1" applyBorder="1" applyAlignment="1">
      <alignment horizontal="left" vertical="center" wrapText="1"/>
    </xf>
    <xf numFmtId="0" fontId="5" fillId="0" borderId="8" xfId="0" applyFont="1" applyBorder="1" applyAlignment="1">
      <alignment horizontal="left" vertical="center" wrapText="1"/>
    </xf>
    <xf numFmtId="0" fontId="5" fillId="0" borderId="81" xfId="0" applyFont="1" applyBorder="1" applyAlignment="1">
      <alignment vertical="center" wrapText="1"/>
    </xf>
    <xf numFmtId="0" fontId="5" fillId="0" borderId="61" xfId="0" applyFont="1" applyBorder="1" applyAlignment="1">
      <alignment vertical="center" wrapText="1"/>
    </xf>
    <xf numFmtId="0" fontId="5" fillId="0" borderId="62" xfId="0" applyFont="1" applyBorder="1" applyAlignment="1">
      <alignment vertical="center" wrapText="1"/>
    </xf>
    <xf numFmtId="0" fontId="5" fillId="0" borderId="85" xfId="0" applyFont="1" applyBorder="1" applyAlignment="1">
      <alignment vertical="center" wrapText="1"/>
    </xf>
    <xf numFmtId="0" fontId="5" fillId="0" borderId="64" xfId="0" applyFont="1" applyBorder="1" applyAlignment="1">
      <alignment vertical="center" wrapText="1"/>
    </xf>
    <xf numFmtId="0" fontId="5" fillId="0" borderId="65" xfId="0" applyFont="1" applyBorder="1" applyAlignment="1">
      <alignment vertical="center" wrapText="1"/>
    </xf>
    <xf numFmtId="14" fontId="5" fillId="0" borderId="4" xfId="0" applyNumberFormat="1" applyFont="1" applyBorder="1" applyAlignment="1" applyProtection="1">
      <alignment horizontal="center" vertical="center" wrapText="1"/>
      <protection locked="0"/>
    </xf>
    <xf numFmtId="14" fontId="5" fillId="0" borderId="4" xfId="0" applyNumberFormat="1" applyFont="1" applyBorder="1" applyAlignment="1" applyProtection="1">
      <alignment horizontal="center" vertical="center"/>
      <protection locked="0"/>
    </xf>
    <xf numFmtId="0" fontId="9" fillId="0" borderId="15" xfId="0" applyFont="1" applyBorder="1" applyAlignment="1">
      <alignment horizontal="center" vertical="center" textRotation="90"/>
    </xf>
    <xf numFmtId="0" fontId="5" fillId="0" borderId="15" xfId="0" applyFont="1" applyBorder="1" applyAlignment="1">
      <alignment horizontal="center" vertical="center"/>
    </xf>
    <xf numFmtId="0" fontId="0" fillId="0" borderId="15" xfId="0" applyBorder="1" applyAlignment="1">
      <alignment horizontal="center" vertical="center" wrapText="1"/>
    </xf>
    <xf numFmtId="0" fontId="10" fillId="0" borderId="4" xfId="0" applyFont="1" applyBorder="1" applyAlignment="1">
      <alignment horizontal="center" vertical="center"/>
    </xf>
    <xf numFmtId="0" fontId="3" fillId="0" borderId="0" xfId="0" applyFont="1"/>
    <xf numFmtId="0" fontId="9" fillId="0" borderId="4" xfId="0" applyFont="1" applyBorder="1" applyAlignment="1" applyProtection="1">
      <alignment horizontal="center" vertical="center" wrapText="1"/>
      <protection locked="0"/>
    </xf>
    <xf numFmtId="0" fontId="9" fillId="0" borderId="15" xfId="0" applyFont="1" applyBorder="1" applyAlignment="1">
      <alignment vertical="center" wrapText="1"/>
    </xf>
    <xf numFmtId="9" fontId="9" fillId="0" borderId="15" xfId="1" applyFont="1" applyBorder="1" applyAlignment="1">
      <alignment vertical="center"/>
    </xf>
    <xf numFmtId="0" fontId="10" fillId="0" borderId="15" xfId="0" applyFont="1" applyBorder="1" applyAlignment="1" applyProtection="1">
      <alignment horizontal="center" vertical="center" wrapText="1"/>
      <protection hidden="1"/>
    </xf>
    <xf numFmtId="0" fontId="10" fillId="0" borderId="15" xfId="0" applyFont="1" applyBorder="1" applyAlignment="1">
      <alignment horizontal="center" vertical="center"/>
    </xf>
    <xf numFmtId="14" fontId="5" fillId="0" borderId="4" xfId="0" applyNumberFormat="1" applyFont="1" applyBorder="1" applyAlignment="1" applyProtection="1">
      <alignment vertical="center"/>
      <protection locked="0"/>
    </xf>
    <xf numFmtId="0" fontId="0" fillId="0" borderId="0" xfId="0" applyAlignment="1">
      <alignment wrapText="1"/>
    </xf>
    <xf numFmtId="0" fontId="5" fillId="0" borderId="0" xfId="0" applyFont="1" applyAlignment="1">
      <alignment horizontal="center" vertical="center" wrapText="1"/>
    </xf>
    <xf numFmtId="0" fontId="0" fillId="15" borderId="4" xfId="0" applyFill="1" applyBorder="1" applyAlignment="1">
      <alignment horizontal="center" vertical="center" wrapText="1"/>
    </xf>
    <xf numFmtId="0" fontId="5" fillId="0" borderId="15" xfId="0" applyFont="1" applyBorder="1" applyAlignment="1" applyProtection="1">
      <alignment horizontal="center" vertical="center"/>
      <protection locked="0"/>
    </xf>
    <xf numFmtId="0" fontId="9" fillId="0" borderId="15" xfId="0" applyFont="1" applyBorder="1" applyAlignment="1" applyProtection="1">
      <alignment horizontal="center" vertical="center"/>
      <protection hidden="1"/>
    </xf>
    <xf numFmtId="9" fontId="9" fillId="0" borderId="15" xfId="0" applyNumberFormat="1" applyFont="1" applyBorder="1" applyAlignment="1" applyProtection="1">
      <alignment horizontal="center" vertical="center" textRotation="90"/>
      <protection hidden="1"/>
    </xf>
    <xf numFmtId="0" fontId="0" fillId="0" borderId="4" xfId="0" applyBorder="1"/>
    <xf numFmtId="9" fontId="9" fillId="0" borderId="4" xfId="1" applyFont="1" applyFill="1" applyBorder="1" applyAlignment="1">
      <alignment horizontal="center" vertical="center"/>
    </xf>
    <xf numFmtId="9" fontId="9" fillId="0" borderId="15" xfId="1" applyFont="1" applyFill="1" applyBorder="1" applyAlignment="1">
      <alignment horizontal="center" vertical="center"/>
    </xf>
    <xf numFmtId="0" fontId="6" fillId="0" borderId="4" xfId="0" applyFont="1" applyBorder="1" applyAlignment="1" applyProtection="1">
      <alignment horizontal="center" vertical="center"/>
      <protection hidden="1"/>
    </xf>
    <xf numFmtId="0" fontId="5" fillId="0" borderId="15" xfId="0" quotePrefix="1" applyFont="1" applyBorder="1" applyAlignment="1" applyProtection="1">
      <alignment horizontal="center" vertical="center" wrapText="1"/>
      <protection locked="0"/>
    </xf>
    <xf numFmtId="0" fontId="5" fillId="2" borderId="4" xfId="0" applyFont="1" applyFill="1" applyBorder="1" applyAlignment="1" applyProtection="1">
      <alignment horizontal="center" vertical="center" wrapText="1"/>
      <protection locked="0"/>
    </xf>
    <xf numFmtId="14" fontId="5" fillId="0" borderId="4" xfId="0" applyNumberFormat="1" applyFont="1" applyBorder="1" applyAlignment="1">
      <alignment horizontal="center" vertical="center" wrapText="1"/>
    </xf>
    <xf numFmtId="0" fontId="5" fillId="0" borderId="4" xfId="0" applyFont="1" applyBorder="1" applyAlignment="1">
      <alignment wrapText="1"/>
    </xf>
    <xf numFmtId="14" fontId="5" fillId="0" borderId="4" xfId="0" applyNumberFormat="1" applyFont="1" applyBorder="1" applyAlignment="1">
      <alignment horizontal="center" vertical="center"/>
    </xf>
    <xf numFmtId="0" fontId="5" fillId="0" borderId="4" xfId="0" applyFont="1" applyBorder="1"/>
    <xf numFmtId="9" fontId="9" fillId="0" borderId="15" xfId="0" applyNumberFormat="1" applyFont="1" applyBorder="1" applyAlignment="1" applyProtection="1">
      <alignment horizontal="center" vertical="center"/>
      <protection hidden="1"/>
    </xf>
    <xf numFmtId="0" fontId="10" fillId="0" borderId="8" xfId="0" applyFont="1" applyBorder="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9" fontId="9" fillId="0" borderId="15" xfId="1" applyFont="1" applyBorder="1" applyAlignment="1">
      <alignment horizontal="center" vertical="center"/>
    </xf>
    <xf numFmtId="9" fontId="10" fillId="0" borderId="4" xfId="1" applyFont="1" applyBorder="1" applyAlignment="1" applyProtection="1">
      <alignment horizontal="center" vertical="center" wrapText="1"/>
      <protection hidden="1"/>
    </xf>
    <xf numFmtId="9" fontId="10" fillId="0" borderId="15" xfId="1" applyFont="1" applyBorder="1" applyAlignment="1" applyProtection="1">
      <alignment horizontal="center" vertical="center" wrapText="1"/>
      <protection hidden="1"/>
    </xf>
    <xf numFmtId="9" fontId="10" fillId="0" borderId="4" xfId="1" applyFont="1" applyFill="1" applyBorder="1" applyAlignment="1" applyProtection="1">
      <alignment horizontal="center" vertical="center" wrapText="1"/>
      <protection hidden="1"/>
    </xf>
    <xf numFmtId="9" fontId="10" fillId="0" borderId="15" xfId="1" applyFont="1" applyFill="1" applyBorder="1" applyAlignment="1" applyProtection="1">
      <alignment horizontal="center" vertical="center" wrapText="1"/>
      <protection hidden="1"/>
    </xf>
    <xf numFmtId="0" fontId="3" fillId="0" borderId="0" xfId="0" applyFont="1" applyAlignment="1">
      <alignment horizontal="center"/>
    </xf>
    <xf numFmtId="9" fontId="3" fillId="0" borderId="0" xfId="1" applyFont="1" applyAlignment="1">
      <alignment horizontal="center"/>
    </xf>
    <xf numFmtId="9" fontId="0" fillId="0" borderId="0" xfId="0" applyNumberFormat="1"/>
    <xf numFmtId="0" fontId="17" fillId="14" borderId="4" xfId="0" applyFont="1" applyFill="1" applyBorder="1" applyAlignment="1">
      <alignment horizontal="center" vertical="center" wrapText="1"/>
    </xf>
    <xf numFmtId="9" fontId="17" fillId="0" borderId="4" xfId="1" applyFont="1" applyBorder="1" applyAlignment="1">
      <alignment horizontal="center" vertical="center" wrapText="1"/>
    </xf>
    <xf numFmtId="0" fontId="19" fillId="0" borderId="4" xfId="0" applyFont="1" applyBorder="1" applyAlignment="1">
      <alignment horizontal="center" vertical="center" wrapText="1"/>
    </xf>
    <xf numFmtId="0" fontId="17" fillId="19" borderId="4" xfId="0" applyFont="1" applyFill="1" applyBorder="1" applyAlignment="1">
      <alignment horizontal="center" vertical="center" wrapText="1"/>
    </xf>
    <xf numFmtId="0" fontId="17" fillId="16" borderId="4" xfId="0" applyFont="1" applyFill="1" applyBorder="1" applyAlignment="1">
      <alignment horizontal="center" vertical="center" wrapText="1"/>
    </xf>
    <xf numFmtId="0" fontId="17" fillId="17" borderId="4" xfId="0" applyFont="1" applyFill="1" applyBorder="1" applyAlignment="1">
      <alignment horizontal="center" vertical="center" wrapText="1"/>
    </xf>
    <xf numFmtId="0" fontId="18" fillId="18" borderId="4" xfId="0" applyFont="1" applyFill="1" applyBorder="1" applyAlignment="1">
      <alignment horizontal="center" vertical="center" wrapText="1"/>
    </xf>
    <xf numFmtId="0" fontId="16" fillId="0" borderId="4" xfId="0" applyFont="1" applyBorder="1" applyAlignment="1">
      <alignment horizontal="center" vertical="center" wrapText="1"/>
    </xf>
    <xf numFmtId="17" fontId="5" fillId="0" borderId="4" xfId="0" applyNumberFormat="1" applyFont="1" applyBorder="1" applyAlignment="1">
      <alignment horizontal="center" vertical="center" wrapText="1"/>
    </xf>
    <xf numFmtId="0" fontId="10" fillId="0" borderId="15" xfId="0" applyFont="1" applyBorder="1" applyAlignment="1" applyProtection="1">
      <alignment vertical="center" wrapText="1"/>
      <protection hidden="1"/>
    </xf>
    <xf numFmtId="0" fontId="5" fillId="0" borderId="15" xfId="0" applyFont="1" applyBorder="1" applyAlignment="1">
      <alignment vertical="center" wrapText="1"/>
    </xf>
    <xf numFmtId="0" fontId="10" fillId="5" borderId="16" xfId="0" applyFont="1" applyFill="1" applyBorder="1" applyAlignment="1">
      <alignment horizontal="center" vertical="center"/>
    </xf>
    <xf numFmtId="0" fontId="9" fillId="0" borderId="4" xfId="0" applyFont="1" applyBorder="1" applyAlignment="1">
      <alignment horizontal="center" vertical="top" wrapText="1"/>
    </xf>
    <xf numFmtId="0" fontId="9" fillId="0" borderId="4" xfId="0" applyFont="1" applyBorder="1" applyAlignment="1">
      <alignment horizontal="center" vertical="center" textRotation="90" wrapText="1"/>
    </xf>
    <xf numFmtId="0" fontId="10" fillId="0" borderId="4" xfId="0" applyFont="1" applyBorder="1" applyAlignment="1">
      <alignment horizontal="center" vertical="center" wrapText="1"/>
    </xf>
    <xf numFmtId="0" fontId="10" fillId="0" borderId="4" xfId="0" applyFont="1" applyBorder="1" applyAlignment="1">
      <alignment horizontal="center" vertical="center" textRotation="90" wrapText="1"/>
    </xf>
    <xf numFmtId="0" fontId="10" fillId="0" borderId="4" xfId="0" applyFont="1" applyBorder="1" applyAlignment="1">
      <alignment horizontal="center" vertical="center" textRotation="90"/>
    </xf>
    <xf numFmtId="164" fontId="9" fillId="0" borderId="4" xfId="1" applyNumberFormat="1" applyFont="1" applyBorder="1" applyAlignment="1">
      <alignment horizontal="center" vertical="center"/>
    </xf>
    <xf numFmtId="0" fontId="9" fillId="0" borderId="0" xfId="0" applyFont="1" applyAlignment="1">
      <alignment wrapText="1"/>
    </xf>
    <xf numFmtId="9" fontId="9" fillId="0" borderId="0" xfId="1" applyFont="1" applyAlignment="1">
      <alignment horizontal="center" vertical="center"/>
    </xf>
    <xf numFmtId="9" fontId="9" fillId="0" borderId="0" xfId="1" applyFont="1"/>
    <xf numFmtId="0" fontId="9" fillId="0" borderId="34" xfId="0" applyFont="1" applyBorder="1"/>
    <xf numFmtId="0" fontId="9" fillId="0" borderId="28" xfId="0" applyFont="1" applyBorder="1"/>
    <xf numFmtId="0" fontId="10" fillId="44" borderId="35" xfId="0" applyFont="1" applyFill="1" applyBorder="1" applyAlignment="1">
      <alignment horizontal="center" vertical="center" wrapText="1"/>
    </xf>
    <xf numFmtId="0" fontId="10" fillId="44" borderId="71" xfId="0" applyFont="1" applyFill="1" applyBorder="1" applyAlignment="1">
      <alignment horizontal="center" vertical="center" wrapText="1"/>
    </xf>
    <xf numFmtId="14" fontId="9" fillId="2" borderId="20" xfId="0" applyNumberFormat="1" applyFont="1" applyFill="1" applyBorder="1" applyAlignment="1">
      <alignment horizontal="center" vertical="center" wrapText="1"/>
    </xf>
    <xf numFmtId="0" fontId="9" fillId="2" borderId="20" xfId="0" applyFont="1" applyFill="1" applyBorder="1" applyAlignment="1">
      <alignment horizontal="center" vertical="center" wrapText="1"/>
    </xf>
    <xf numFmtId="14" fontId="9" fillId="2" borderId="4" xfId="0" applyNumberFormat="1" applyFont="1" applyFill="1" applyBorder="1" applyAlignment="1">
      <alignment horizontal="center" vertical="center" wrapText="1"/>
    </xf>
    <xf numFmtId="0" fontId="9" fillId="2" borderId="4" xfId="0" applyFont="1" applyFill="1" applyBorder="1" applyAlignment="1">
      <alignment horizontal="center" vertical="center" wrapText="1"/>
    </xf>
    <xf numFmtId="0" fontId="20" fillId="2" borderId="0" xfId="0" applyFont="1" applyFill="1"/>
    <xf numFmtId="0" fontId="9" fillId="2" borderId="54" xfId="0" applyFont="1" applyFill="1" applyBorder="1" applyAlignment="1">
      <alignment horizontal="center" vertical="center" wrapText="1"/>
    </xf>
    <xf numFmtId="0" fontId="9" fillId="0" borderId="54" xfId="0" applyFont="1" applyBorder="1" applyAlignment="1">
      <alignment horizontal="center" vertical="center" wrapText="1"/>
    </xf>
    <xf numFmtId="0" fontId="16" fillId="0" borderId="30" xfId="0" applyFont="1" applyBorder="1" applyAlignment="1">
      <alignment horizontal="center" vertical="center" wrapText="1"/>
    </xf>
    <xf numFmtId="0" fontId="19" fillId="0" borderId="31" xfId="0" applyFont="1" applyBorder="1" applyAlignment="1">
      <alignment horizontal="center" vertical="center" wrapText="1"/>
    </xf>
    <xf numFmtId="0" fontId="17" fillId="19" borderId="30" xfId="0" applyFont="1" applyFill="1" applyBorder="1" applyAlignment="1">
      <alignment horizontal="center" vertical="center" wrapText="1"/>
    </xf>
    <xf numFmtId="0" fontId="5" fillId="11" borderId="4" xfId="0" applyFont="1" applyFill="1" applyBorder="1" applyAlignment="1" applyProtection="1">
      <alignment horizontal="center" vertical="center" wrapText="1"/>
      <protection locked="0"/>
    </xf>
    <xf numFmtId="0" fontId="5" fillId="11" borderId="4" xfId="0" applyFont="1" applyFill="1" applyBorder="1" applyAlignment="1" applyProtection="1">
      <alignment horizontal="center" vertical="center" wrapText="1"/>
      <protection hidden="1"/>
    </xf>
    <xf numFmtId="0" fontId="5" fillId="0" borderId="78" xfId="0" applyFont="1" applyBorder="1" applyAlignment="1">
      <alignment vertical="center"/>
    </xf>
    <xf numFmtId="0" fontId="5" fillId="0" borderId="79" xfId="0" applyFont="1" applyBorder="1"/>
    <xf numFmtId="0" fontId="5" fillId="0" borderId="80" xfId="0" applyFont="1" applyBorder="1"/>
    <xf numFmtId="0" fontId="5" fillId="0" borderId="82" xfId="0" applyFont="1" applyBorder="1" applyAlignment="1">
      <alignment vertical="center"/>
    </xf>
    <xf numFmtId="0" fontId="5" fillId="0" borderId="83" xfId="0" applyFont="1" applyBorder="1"/>
    <xf numFmtId="0" fontId="5" fillId="0" borderId="84" xfId="0" applyFont="1" applyBorder="1"/>
    <xf numFmtId="0" fontId="9" fillId="0" borderId="27" xfId="0" applyFont="1" applyBorder="1" applyAlignment="1">
      <alignment horizontal="center" vertical="center" textRotation="90"/>
    </xf>
    <xf numFmtId="0" fontId="9" fillId="0" borderId="29" xfId="0" applyFont="1" applyBorder="1" applyAlignment="1">
      <alignment horizontal="center" vertical="center" textRotation="90"/>
    </xf>
    <xf numFmtId="0" fontId="9" fillId="0" borderId="30" xfId="0" applyFont="1" applyBorder="1" applyAlignment="1">
      <alignment horizontal="center" vertical="center" textRotation="90"/>
    </xf>
    <xf numFmtId="0" fontId="5" fillId="0" borderId="49" xfId="0" applyFont="1" applyBorder="1" applyAlignment="1">
      <alignment horizontal="left" vertical="center" wrapText="1"/>
    </xf>
    <xf numFmtId="0" fontId="5" fillId="0" borderId="50" xfId="0" applyFont="1" applyBorder="1" applyAlignment="1">
      <alignment horizontal="left" vertical="center" wrapText="1"/>
    </xf>
    <xf numFmtId="0" fontId="5" fillId="0" borderId="51" xfId="0" applyFont="1" applyBorder="1" applyAlignment="1">
      <alignment horizontal="left" vertical="center" wrapText="1"/>
    </xf>
    <xf numFmtId="0" fontId="5" fillId="0" borderId="4" xfId="0" applyFont="1" applyBorder="1" applyAlignment="1">
      <alignment horizontal="left" vertical="center" wrapText="1"/>
    </xf>
    <xf numFmtId="0" fontId="5" fillId="0" borderId="78" xfId="0" applyFont="1" applyBorder="1" applyAlignment="1">
      <alignment vertical="center" wrapText="1"/>
    </xf>
    <xf numFmtId="0" fontId="9" fillId="0" borderId="49" xfId="0" applyFont="1" applyBorder="1" applyAlignment="1">
      <alignment horizontal="left" vertical="center" wrapText="1"/>
    </xf>
    <xf numFmtId="0" fontId="9" fillId="0" borderId="50" xfId="0" applyFont="1" applyBorder="1" applyAlignment="1">
      <alignment horizontal="left" vertical="center" wrapText="1"/>
    </xf>
    <xf numFmtId="0" fontId="9" fillId="0" borderId="51" xfId="0" applyFont="1" applyBorder="1" applyAlignment="1">
      <alignment horizontal="left" wrapText="1"/>
    </xf>
    <xf numFmtId="0" fontId="9" fillId="0" borderId="4" xfId="0" applyFont="1" applyBorder="1" applyAlignment="1">
      <alignment horizontal="left" wrapText="1"/>
    </xf>
    <xf numFmtId="0" fontId="9" fillId="0" borderId="51" xfId="0" applyFont="1" applyBorder="1" applyAlignment="1">
      <alignment horizontal="left" vertical="center" wrapText="1"/>
    </xf>
    <xf numFmtId="0" fontId="9" fillId="0" borderId="4" xfId="0" applyFont="1" applyBorder="1" applyAlignment="1">
      <alignment horizontal="left" vertical="center" wrapText="1"/>
    </xf>
    <xf numFmtId="0" fontId="9" fillId="0" borderId="53" xfId="0" applyFont="1" applyBorder="1" applyAlignment="1">
      <alignment horizontal="left" wrapText="1"/>
    </xf>
    <xf numFmtId="0" fontId="9" fillId="0" borderId="54" xfId="0" applyFont="1" applyBorder="1" applyAlignment="1">
      <alignment horizontal="left" wrapText="1"/>
    </xf>
    <xf numFmtId="0" fontId="5" fillId="21" borderId="49" xfId="0" applyFont="1" applyFill="1" applyBorder="1" applyAlignment="1">
      <alignment vertical="center" wrapText="1"/>
    </xf>
    <xf numFmtId="0" fontId="5" fillId="21" borderId="50" xfId="0" applyFont="1" applyFill="1" applyBorder="1" applyAlignment="1">
      <alignment vertical="center" wrapText="1"/>
    </xf>
    <xf numFmtId="0" fontId="5" fillId="0" borderId="51" xfId="0" applyFont="1" applyBorder="1" applyAlignment="1">
      <alignment vertical="center" wrapText="1"/>
    </xf>
    <xf numFmtId="0" fontId="5" fillId="0" borderId="4" xfId="0" applyFont="1" applyBorder="1" applyAlignment="1">
      <alignment vertical="center" wrapText="1"/>
    </xf>
    <xf numFmtId="0" fontId="5" fillId="0" borderId="53" xfId="0" applyFont="1" applyBorder="1" applyAlignment="1">
      <alignment vertical="center" wrapText="1"/>
    </xf>
    <xf numFmtId="0" fontId="5" fillId="0" borderId="54" xfId="0" applyFont="1" applyBorder="1" applyAlignment="1">
      <alignment vertical="center" wrapText="1"/>
    </xf>
    <xf numFmtId="0" fontId="9" fillId="0" borderId="27" xfId="0" applyFont="1" applyBorder="1" applyAlignment="1">
      <alignment horizontal="center" vertical="center" textRotation="90" wrapText="1"/>
    </xf>
    <xf numFmtId="0" fontId="9" fillId="0" borderId="30" xfId="0" applyFont="1" applyBorder="1" applyAlignment="1">
      <alignment horizontal="center" vertical="center" textRotation="90" wrapText="1"/>
    </xf>
    <xf numFmtId="0" fontId="9" fillId="0" borderId="53" xfId="0" applyFont="1" applyBorder="1" applyAlignment="1">
      <alignment horizontal="center" vertical="center"/>
    </xf>
    <xf numFmtId="0" fontId="9" fillId="0" borderId="54" xfId="0" applyFont="1" applyBorder="1" applyAlignment="1">
      <alignment horizontal="center" vertical="center"/>
    </xf>
    <xf numFmtId="0" fontId="9" fillId="0" borderId="53" xfId="0" applyFont="1" applyBorder="1" applyAlignment="1">
      <alignment horizontal="left" vertical="center" wrapText="1"/>
    </xf>
    <xf numFmtId="0" fontId="9" fillId="0" borderId="54" xfId="0" applyFont="1" applyBorder="1" applyAlignment="1">
      <alignment horizontal="left" vertical="center" wrapText="1"/>
    </xf>
    <xf numFmtId="0" fontId="9" fillId="0" borderId="39" xfId="0" applyFont="1" applyBorder="1" applyAlignment="1">
      <alignment horizontal="left" vertical="center" wrapText="1"/>
    </xf>
    <xf numFmtId="0" fontId="9" fillId="0" borderId="40" xfId="0" applyFont="1" applyBorder="1" applyAlignment="1">
      <alignment horizontal="left" vertical="center" wrapText="1"/>
    </xf>
    <xf numFmtId="0" fontId="9" fillId="0" borderId="42" xfId="0" applyFont="1" applyBorder="1" applyAlignment="1">
      <alignment horizontal="left" vertical="center" wrapText="1"/>
    </xf>
    <xf numFmtId="0" fontId="9" fillId="0" borderId="77"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28" borderId="51" xfId="0" applyFont="1" applyFill="1" applyBorder="1" applyAlignment="1">
      <alignment horizontal="left" vertical="center" wrapText="1"/>
    </xf>
    <xf numFmtId="0" fontId="9" fillId="28" borderId="4" xfId="0" applyFont="1" applyFill="1" applyBorder="1" applyAlignment="1">
      <alignment horizontal="left" vertical="center" wrapText="1"/>
    </xf>
    <xf numFmtId="0" fontId="10" fillId="0" borderId="53" xfId="0" applyFont="1" applyBorder="1" applyAlignment="1">
      <alignment horizontal="left" vertical="center" wrapText="1"/>
    </xf>
    <xf numFmtId="0" fontId="9" fillId="0" borderId="49" xfId="0" applyFont="1" applyBorder="1" applyAlignment="1">
      <alignment vertical="center" wrapText="1"/>
    </xf>
    <xf numFmtId="0" fontId="9" fillId="0" borderId="50" xfId="0" applyFont="1" applyBorder="1" applyAlignment="1">
      <alignment vertical="center" wrapText="1"/>
    </xf>
    <xf numFmtId="0" fontId="9" fillId="0" borderId="51" xfId="0" applyFont="1" applyBorder="1" applyAlignment="1">
      <alignment vertical="center" wrapText="1"/>
    </xf>
    <xf numFmtId="0" fontId="9" fillId="0" borderId="4" xfId="0" applyFont="1" applyBorder="1" applyAlignment="1">
      <alignment vertical="center" wrapText="1"/>
    </xf>
    <xf numFmtId="0" fontId="9" fillId="0" borderId="53" xfId="0" applyFont="1" applyBorder="1" applyAlignment="1">
      <alignment wrapText="1"/>
    </xf>
    <xf numFmtId="0" fontId="9" fillId="0" borderId="54" xfId="0" applyFont="1" applyBorder="1" applyAlignment="1">
      <alignment wrapText="1"/>
    </xf>
    <xf numFmtId="0" fontId="9" fillId="0" borderId="72" xfId="0" applyFont="1" applyBorder="1" applyAlignment="1">
      <alignment horizontal="left" vertical="center" wrapText="1"/>
    </xf>
    <xf numFmtId="0" fontId="9" fillId="0" borderId="73" xfId="0" applyFont="1" applyBorder="1" applyAlignment="1">
      <alignment horizontal="left" vertical="center" wrapText="1"/>
    </xf>
    <xf numFmtId="0" fontId="9" fillId="21" borderId="39" xfId="0" applyFont="1" applyFill="1" applyBorder="1" applyAlignment="1">
      <alignment horizontal="left" vertical="center" wrapText="1"/>
    </xf>
    <xf numFmtId="0" fontId="9" fillId="21" borderId="40" xfId="0" applyFont="1" applyFill="1" applyBorder="1" applyAlignment="1">
      <alignment horizontal="left" vertical="center" wrapText="1"/>
    </xf>
    <xf numFmtId="0" fontId="9" fillId="21" borderId="42" xfId="0" applyFont="1" applyFill="1" applyBorder="1" applyAlignment="1">
      <alignment horizontal="left" vertical="center" wrapText="1"/>
    </xf>
    <xf numFmtId="0" fontId="9" fillId="0" borderId="76"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44" xfId="0" applyFont="1" applyBorder="1" applyAlignment="1">
      <alignment horizontal="left" vertical="center" wrapText="1"/>
    </xf>
    <xf numFmtId="0" fontId="9" fillId="0" borderId="45" xfId="0" applyFont="1" applyBorder="1" applyAlignment="1">
      <alignment horizontal="left" vertical="center" wrapText="1"/>
    </xf>
    <xf numFmtId="0" fontId="9" fillId="0" borderId="47" xfId="0" applyFont="1" applyBorder="1" applyAlignment="1">
      <alignment horizontal="left" vertical="center" wrapText="1"/>
    </xf>
    <xf numFmtId="0" fontId="9" fillId="0" borderId="66" xfId="0" applyFont="1" applyBorder="1" applyAlignment="1">
      <alignment horizontal="center" vertical="center" textRotation="90"/>
    </xf>
    <xf numFmtId="0" fontId="9" fillId="0" borderId="68" xfId="0" applyFont="1" applyBorder="1" applyAlignment="1">
      <alignment horizontal="center" vertical="center" textRotation="90"/>
    </xf>
    <xf numFmtId="0" fontId="9" fillId="0" borderId="69" xfId="0" applyFont="1" applyBorder="1" applyAlignment="1">
      <alignment horizontal="center" vertical="center" textRotation="90"/>
    </xf>
    <xf numFmtId="0" fontId="9" fillId="25" borderId="51" xfId="0" applyFont="1" applyFill="1" applyBorder="1" applyAlignment="1">
      <alignment horizontal="left" vertical="center" wrapText="1"/>
    </xf>
    <xf numFmtId="0" fontId="9" fillId="25" borderId="4" xfId="0" applyFont="1" applyFill="1" applyBorder="1" applyAlignment="1">
      <alignment horizontal="left" vertical="center" wrapText="1"/>
    </xf>
    <xf numFmtId="0" fontId="9" fillId="0" borderId="44" xfId="0" applyFont="1" applyBorder="1" applyAlignment="1">
      <alignment horizontal="center" vertical="center"/>
    </xf>
    <xf numFmtId="0" fontId="9" fillId="0" borderId="45" xfId="0" applyFont="1" applyBorder="1" applyAlignment="1">
      <alignment horizontal="center" vertical="center"/>
    </xf>
    <xf numFmtId="0" fontId="9" fillId="0" borderId="47" xfId="0" applyFont="1" applyBorder="1" applyAlignment="1">
      <alignment horizontal="center" vertical="center"/>
    </xf>
    <xf numFmtId="0" fontId="9" fillId="0" borderId="66" xfId="0" applyFont="1" applyBorder="1" applyAlignment="1">
      <alignment horizontal="center" vertical="center" textRotation="90" wrapText="1"/>
    </xf>
    <xf numFmtId="0" fontId="9" fillId="0" borderId="68" xfId="0" applyFont="1" applyBorder="1" applyAlignment="1">
      <alignment horizontal="center" vertical="center" textRotation="90" wrapText="1"/>
    </xf>
    <xf numFmtId="0" fontId="9" fillId="0" borderId="69" xfId="0" applyFont="1" applyBorder="1" applyAlignment="1">
      <alignment horizontal="center" vertical="center" textRotation="90" wrapText="1"/>
    </xf>
    <xf numFmtId="0" fontId="9" fillId="0" borderId="49" xfId="0" applyFont="1" applyBorder="1" applyAlignment="1">
      <alignment horizontal="left" vertical="top" wrapText="1"/>
    </xf>
    <xf numFmtId="0" fontId="9" fillId="0" borderId="50" xfId="0" applyFont="1" applyBorder="1" applyAlignment="1">
      <alignment horizontal="left" vertical="top" wrapText="1"/>
    </xf>
    <xf numFmtId="0" fontId="9" fillId="0" borderId="51" xfId="0" applyFont="1" applyBorder="1" applyAlignment="1">
      <alignment horizontal="left" vertical="top" wrapText="1"/>
    </xf>
    <xf numFmtId="0" fontId="9" fillId="0" borderId="4" xfId="0" applyFont="1" applyBorder="1" applyAlignment="1">
      <alignment horizontal="left" vertical="top" wrapText="1"/>
    </xf>
    <xf numFmtId="0" fontId="9" fillId="17" borderId="51" xfId="0" applyFont="1" applyFill="1" applyBorder="1" applyAlignment="1">
      <alignment horizontal="left" vertical="top" wrapText="1"/>
    </xf>
    <xf numFmtId="0" fontId="9" fillId="17" borderId="4" xfId="0" applyFont="1" applyFill="1" applyBorder="1" applyAlignment="1">
      <alignment horizontal="left" vertical="top" wrapText="1"/>
    </xf>
    <xf numFmtId="0" fontId="9" fillId="17" borderId="53" xfId="0" applyFont="1" applyFill="1" applyBorder="1" applyAlignment="1">
      <alignment horizontal="left" vertical="top"/>
    </xf>
    <xf numFmtId="0" fontId="9" fillId="17" borderId="54" xfId="0" applyFont="1" applyFill="1" applyBorder="1" applyAlignment="1">
      <alignment horizontal="left" vertical="top"/>
    </xf>
    <xf numFmtId="0" fontId="10" fillId="42" borderId="4" xfId="0" applyFont="1" applyFill="1" applyBorder="1" applyAlignment="1">
      <alignment horizontal="center" vertical="center"/>
    </xf>
    <xf numFmtId="0" fontId="10" fillId="42" borderId="2" xfId="0" applyFont="1" applyFill="1" applyBorder="1" applyAlignment="1">
      <alignment horizontal="center" vertical="center"/>
    </xf>
    <xf numFmtId="0" fontId="10" fillId="42" borderId="3" xfId="0" applyFont="1" applyFill="1" applyBorder="1" applyAlignment="1">
      <alignment horizontal="center" vertical="center"/>
    </xf>
    <xf numFmtId="0" fontId="9" fillId="0" borderId="29" xfId="0" applyFont="1" applyBorder="1" applyAlignment="1">
      <alignment horizontal="center" vertical="center" textRotation="90" wrapText="1"/>
    </xf>
    <xf numFmtId="0" fontId="10" fillId="21" borderId="15" xfId="0" applyFont="1" applyFill="1" applyBorder="1" applyAlignment="1">
      <alignment horizontal="center" vertical="center" textRotation="90"/>
    </xf>
    <xf numFmtId="0" fontId="10" fillId="21" borderId="38" xfId="0" applyFont="1" applyFill="1" applyBorder="1" applyAlignment="1">
      <alignment horizontal="center" vertical="center" textRotation="90"/>
    </xf>
    <xf numFmtId="0" fontId="10" fillId="0" borderId="39"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1" xfId="0" applyFont="1" applyBorder="1" applyAlignment="1">
      <alignment horizontal="center" vertical="center" wrapText="1"/>
    </xf>
    <xf numFmtId="0" fontId="10" fillId="0" borderId="40" xfId="0" applyFont="1" applyBorder="1" applyAlignment="1">
      <alignment horizontal="center" vertical="center"/>
    </xf>
    <xf numFmtId="0" fontId="10" fillId="0" borderId="42" xfId="0" applyFont="1" applyBorder="1" applyAlignment="1">
      <alignment horizontal="center" vertical="center"/>
    </xf>
    <xf numFmtId="0" fontId="10" fillId="0" borderId="44" xfId="0" applyFont="1" applyBorder="1" applyAlignment="1">
      <alignment horizontal="center" vertical="center"/>
    </xf>
    <xf numFmtId="0" fontId="10" fillId="0" borderId="45" xfId="0" applyFont="1" applyBorder="1" applyAlignment="1">
      <alignment horizontal="center" vertical="center"/>
    </xf>
    <xf numFmtId="0" fontId="10" fillId="0" borderId="46" xfId="0" applyFont="1" applyBorder="1" applyAlignment="1">
      <alignment horizontal="center" vertical="center"/>
    </xf>
    <xf numFmtId="0" fontId="10" fillId="0" borderId="47" xfId="0" applyFont="1" applyBorder="1" applyAlignment="1">
      <alignment horizontal="center" vertical="center"/>
    </xf>
    <xf numFmtId="0" fontId="10" fillId="20" borderId="4" xfId="0" applyFont="1" applyFill="1" applyBorder="1" applyAlignment="1">
      <alignment horizontal="center" vertical="center" wrapText="1"/>
    </xf>
    <xf numFmtId="0" fontId="10" fillId="22" borderId="8" xfId="0" applyFont="1" applyFill="1" applyBorder="1" applyAlignment="1">
      <alignment horizontal="center" vertical="top" wrapText="1"/>
    </xf>
    <xf numFmtId="0" fontId="10" fillId="22" borderId="9" xfId="0" applyFont="1" applyFill="1" applyBorder="1" applyAlignment="1">
      <alignment horizontal="center" vertical="top" wrapText="1"/>
    </xf>
    <xf numFmtId="0" fontId="10" fillId="23" borderId="8" xfId="0" applyFont="1" applyFill="1" applyBorder="1" applyAlignment="1">
      <alignment horizontal="center" vertical="top" wrapText="1"/>
    </xf>
    <xf numFmtId="0" fontId="10" fillId="23" borderId="10" xfId="0" applyFont="1" applyFill="1" applyBorder="1" applyAlignment="1">
      <alignment horizontal="center" vertical="top" wrapText="1"/>
    </xf>
    <xf numFmtId="0" fontId="9" fillId="0" borderId="4" xfId="0" applyFont="1" applyBorder="1" applyAlignment="1">
      <alignment horizontal="center" vertical="center" textRotation="90"/>
    </xf>
    <xf numFmtId="0" fontId="9" fillId="0" borderId="15" xfId="0" applyFont="1" applyBorder="1" applyAlignment="1">
      <alignment horizontal="center" vertical="center" textRotation="90"/>
    </xf>
    <xf numFmtId="0" fontId="6" fillId="0" borderId="4" xfId="0" applyFont="1" applyBorder="1" applyAlignment="1">
      <alignment horizontal="center" vertical="center" wrapText="1"/>
    </xf>
    <xf numFmtId="0" fontId="23" fillId="0" borderId="4" xfId="2" applyFont="1" applyBorder="1" applyAlignment="1">
      <alignment horizontal="center" vertical="center" wrapText="1"/>
    </xf>
    <xf numFmtId="0" fontId="10" fillId="0" borderId="4" xfId="0" applyFont="1" applyBorder="1" applyAlignment="1">
      <alignment horizontal="center" vertical="center"/>
    </xf>
    <xf numFmtId="14" fontId="10" fillId="0" borderId="4" xfId="2" applyNumberFormat="1" applyFont="1" applyBorder="1" applyAlignment="1">
      <alignment horizontal="center" vertical="center" wrapText="1"/>
    </xf>
    <xf numFmtId="0" fontId="10" fillId="8" borderId="15" xfId="0" applyFont="1" applyFill="1" applyBorder="1" applyAlignment="1">
      <alignment horizontal="center" vertical="center" wrapText="1"/>
    </xf>
    <xf numFmtId="0" fontId="10" fillId="8" borderId="20" xfId="0" applyFont="1" applyFill="1" applyBorder="1" applyAlignment="1">
      <alignment horizontal="center" vertical="center" wrapText="1"/>
    </xf>
    <xf numFmtId="0" fontId="10" fillId="8" borderId="15" xfId="0" applyFont="1" applyFill="1" applyBorder="1" applyAlignment="1">
      <alignment horizontal="center" vertical="center"/>
    </xf>
    <xf numFmtId="0" fontId="10" fillId="8" borderId="20" xfId="0" applyFont="1" applyFill="1" applyBorder="1" applyAlignment="1">
      <alignment horizontal="center" vertical="center"/>
    </xf>
    <xf numFmtId="0" fontId="10" fillId="3" borderId="4" xfId="0" applyFont="1" applyFill="1" applyBorder="1" applyAlignment="1">
      <alignment horizontal="center" vertical="center"/>
    </xf>
    <xf numFmtId="0" fontId="10" fillId="4" borderId="8" xfId="0" applyFont="1" applyFill="1" applyBorder="1" applyAlignment="1">
      <alignment horizontal="center" vertical="center"/>
    </xf>
    <xf numFmtId="0" fontId="10" fillId="4" borderId="9" xfId="0" applyFont="1" applyFill="1" applyBorder="1" applyAlignment="1">
      <alignment horizontal="center" vertical="center"/>
    </xf>
    <xf numFmtId="0" fontId="10" fillId="5" borderId="12" xfId="0" applyFont="1" applyFill="1" applyBorder="1" applyAlignment="1">
      <alignment horizontal="center" vertical="center"/>
    </xf>
    <xf numFmtId="0" fontId="10" fillId="5" borderId="13" xfId="0" applyFont="1" applyFill="1" applyBorder="1" applyAlignment="1">
      <alignment horizontal="center" vertical="center"/>
    </xf>
    <xf numFmtId="0" fontId="10" fillId="5" borderId="86" xfId="0" applyFont="1" applyFill="1" applyBorder="1" applyAlignment="1">
      <alignment horizontal="center" vertical="center"/>
    </xf>
    <xf numFmtId="0" fontId="10" fillId="6" borderId="87" xfId="0" applyFont="1" applyFill="1" applyBorder="1" applyAlignment="1">
      <alignment horizontal="center" vertical="center"/>
    </xf>
    <xf numFmtId="0" fontId="10" fillId="6" borderId="12" xfId="0" applyFont="1" applyFill="1" applyBorder="1" applyAlignment="1">
      <alignment horizontal="center" vertical="center"/>
    </xf>
    <xf numFmtId="0" fontId="10" fillId="7" borderId="4" xfId="0" applyFont="1" applyFill="1" applyBorder="1" applyAlignment="1">
      <alignment horizontal="center" vertical="center"/>
    </xf>
    <xf numFmtId="0" fontId="10" fillId="5" borderId="87"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9" borderId="1" xfId="0" applyFont="1" applyFill="1" applyBorder="1" applyAlignment="1">
      <alignment horizontal="center" vertical="center" wrapText="1"/>
    </xf>
    <xf numFmtId="0" fontId="10" fillId="9" borderId="2" xfId="0" applyFont="1" applyFill="1" applyBorder="1" applyAlignment="1">
      <alignment horizontal="center" vertical="center" wrapText="1"/>
    </xf>
    <xf numFmtId="0" fontId="10" fillId="9" borderId="88" xfId="0" applyFont="1" applyFill="1" applyBorder="1" applyAlignment="1">
      <alignment horizontal="center" vertical="center" wrapText="1"/>
    </xf>
    <xf numFmtId="0" fontId="10" fillId="9" borderId="0" xfId="0" applyFont="1" applyFill="1" applyAlignment="1">
      <alignment horizontal="center" vertical="center" wrapText="1"/>
    </xf>
    <xf numFmtId="0" fontId="10" fillId="9" borderId="3" xfId="0" applyFont="1" applyFill="1" applyBorder="1" applyAlignment="1">
      <alignment horizontal="center" vertical="center" wrapText="1"/>
    </xf>
    <xf numFmtId="0" fontId="10" fillId="9" borderId="89" xfId="0" applyFont="1" applyFill="1" applyBorder="1" applyAlignment="1">
      <alignment horizontal="center" vertical="center" wrapText="1"/>
    </xf>
    <xf numFmtId="0" fontId="10" fillId="5" borderId="87" xfId="0" applyFont="1" applyFill="1" applyBorder="1" applyAlignment="1">
      <alignment horizontal="center" vertical="center" textRotation="90" wrapText="1"/>
    </xf>
    <xf numFmtId="0" fontId="10" fillId="5" borderId="16" xfId="0" applyFont="1" applyFill="1" applyBorder="1" applyAlignment="1">
      <alignment horizontal="center" vertical="center" textRotation="90" wrapText="1"/>
    </xf>
    <xf numFmtId="0" fontId="10" fillId="10" borderId="4" xfId="0" applyFont="1" applyFill="1" applyBorder="1" applyAlignment="1">
      <alignment horizontal="center" vertical="center" wrapText="1"/>
    </xf>
    <xf numFmtId="0" fontId="10" fillId="10" borderId="15"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5" borderId="13" xfId="0" applyFont="1" applyFill="1" applyBorder="1" applyAlignment="1">
      <alignment horizontal="center" vertical="center" wrapText="1"/>
    </xf>
    <xf numFmtId="0" fontId="10" fillId="5" borderId="86" xfId="0" applyFont="1" applyFill="1" applyBorder="1" applyAlignment="1">
      <alignment horizontal="center" vertical="center" wrapText="1"/>
    </xf>
    <xf numFmtId="0" fontId="10" fillId="6" borderId="17" xfId="0" applyFont="1" applyFill="1" applyBorder="1" applyAlignment="1">
      <alignment horizontal="center" vertical="center" wrapText="1"/>
    </xf>
    <xf numFmtId="0" fontId="10" fillId="6" borderId="18" xfId="0" applyFont="1" applyFill="1" applyBorder="1" applyAlignment="1">
      <alignment horizontal="center" vertical="center" wrapText="1"/>
    </xf>
    <xf numFmtId="0" fontId="10" fillId="6" borderId="90" xfId="0" applyFont="1" applyFill="1" applyBorder="1" applyAlignment="1">
      <alignment horizontal="center" vertical="center" wrapText="1"/>
    </xf>
    <xf numFmtId="0" fontId="10" fillId="6" borderId="91" xfId="0" applyFont="1" applyFill="1" applyBorder="1" applyAlignment="1">
      <alignment horizontal="center" vertical="center" wrapText="1"/>
    </xf>
    <xf numFmtId="0" fontId="10" fillId="6" borderId="87" xfId="0" applyFont="1" applyFill="1" applyBorder="1" applyAlignment="1">
      <alignment horizontal="center" vertical="center" wrapText="1"/>
    </xf>
    <xf numFmtId="0" fontId="10" fillId="6" borderId="16" xfId="0" applyFont="1" applyFill="1" applyBorder="1" applyAlignment="1">
      <alignment horizontal="center" vertical="center" wrapText="1"/>
    </xf>
    <xf numFmtId="9" fontId="9" fillId="0" borderId="4" xfId="1" applyFont="1" applyBorder="1" applyAlignment="1" applyProtection="1">
      <alignment horizontal="center" vertical="center" wrapText="1"/>
      <protection hidden="1"/>
    </xf>
    <xf numFmtId="0" fontId="9" fillId="0" borderId="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4" xfId="0" applyFont="1" applyBorder="1" applyAlignment="1">
      <alignment horizontal="center" vertical="center"/>
    </xf>
    <xf numFmtId="0" fontId="9" fillId="0" borderId="4" xfId="0" applyFont="1" applyBorder="1" applyAlignment="1" applyProtection="1">
      <alignment horizontal="center" vertical="center" wrapText="1"/>
      <protection locked="0"/>
    </xf>
    <xf numFmtId="0" fontId="5" fillId="0" borderId="4" xfId="0" applyFont="1" applyBorder="1" applyAlignment="1">
      <alignment horizontal="center" vertical="center" wrapText="1"/>
    </xf>
    <xf numFmtId="0" fontId="10" fillId="6" borderId="12" xfId="0" applyFont="1" applyFill="1" applyBorder="1" applyAlignment="1">
      <alignment horizontal="center" vertical="center" wrapText="1"/>
    </xf>
    <xf numFmtId="0" fontId="5" fillId="0" borderId="4" xfId="0" applyFont="1" applyBorder="1" applyAlignment="1" applyProtection="1">
      <alignment horizontal="center" vertical="center" wrapText="1"/>
      <protection locked="0"/>
    </xf>
    <xf numFmtId="0" fontId="5" fillId="0" borderId="4" xfId="0" applyFont="1" applyBorder="1" applyAlignment="1">
      <alignment horizontal="center" vertical="center"/>
    </xf>
    <xf numFmtId="0" fontId="10" fillId="0" borderId="4" xfId="0" applyFont="1" applyBorder="1" applyAlignment="1" applyProtection="1">
      <alignment horizontal="center" vertical="center" wrapText="1"/>
      <protection hidden="1"/>
    </xf>
    <xf numFmtId="0" fontId="9" fillId="0" borderId="15" xfId="0" applyFont="1" applyBorder="1" applyAlignment="1">
      <alignment horizontal="center" vertical="center"/>
    </xf>
    <xf numFmtId="0" fontId="9" fillId="0" borderId="20" xfId="0" applyFont="1" applyBorder="1" applyAlignment="1">
      <alignment horizontal="center" vertical="center"/>
    </xf>
    <xf numFmtId="9" fontId="9" fillId="0" borderId="4" xfId="1" applyFont="1" applyBorder="1" applyAlignment="1">
      <alignment horizontal="center" vertical="center"/>
    </xf>
    <xf numFmtId="0" fontId="9" fillId="0" borderId="38" xfId="0" applyFont="1" applyBorder="1" applyAlignment="1">
      <alignment horizontal="center" vertical="center" wrapText="1"/>
    </xf>
    <xf numFmtId="0" fontId="10" fillId="0" borderId="15" xfId="0" applyFont="1" applyBorder="1" applyAlignment="1">
      <alignment horizontal="center" vertical="center"/>
    </xf>
    <xf numFmtId="0" fontId="10" fillId="0" borderId="38" xfId="0" applyFont="1" applyBorder="1" applyAlignment="1">
      <alignment horizontal="center" vertical="center"/>
    </xf>
    <xf numFmtId="0" fontId="10" fillId="0" borderId="20" xfId="0" applyFont="1" applyBorder="1" applyAlignment="1">
      <alignment horizontal="center" vertical="center"/>
    </xf>
    <xf numFmtId="9" fontId="9" fillId="0" borderId="15" xfId="1" applyFont="1" applyFill="1" applyBorder="1" applyAlignment="1">
      <alignment horizontal="center" vertical="center"/>
    </xf>
    <xf numFmtId="9" fontId="9" fillId="0" borderId="38" xfId="1" applyFont="1" applyFill="1" applyBorder="1" applyAlignment="1">
      <alignment horizontal="center" vertical="center"/>
    </xf>
    <xf numFmtId="9" fontId="9" fillId="0" borderId="20" xfId="1" applyFont="1" applyFill="1" applyBorder="1" applyAlignment="1">
      <alignment horizontal="center" vertical="center"/>
    </xf>
    <xf numFmtId="9" fontId="10" fillId="0" borderId="15" xfId="1" applyFont="1" applyFill="1" applyBorder="1" applyAlignment="1" applyProtection="1">
      <alignment horizontal="center" vertical="center" wrapText="1"/>
      <protection hidden="1"/>
    </xf>
    <xf numFmtId="9" fontId="10" fillId="0" borderId="38" xfId="1" applyFont="1" applyFill="1" applyBorder="1" applyAlignment="1" applyProtection="1">
      <alignment horizontal="center" vertical="center" wrapText="1"/>
      <protection hidden="1"/>
    </xf>
    <xf numFmtId="9" fontId="10" fillId="0" borderId="20" xfId="1" applyFont="1" applyFill="1" applyBorder="1" applyAlignment="1" applyProtection="1">
      <alignment horizontal="center" vertical="center" wrapText="1"/>
      <protection hidden="1"/>
    </xf>
    <xf numFmtId="9" fontId="10" fillId="0" borderId="4" xfId="1" applyFont="1" applyFill="1" applyBorder="1" applyAlignment="1" applyProtection="1">
      <alignment horizontal="center" vertical="center" wrapText="1"/>
      <protection hidden="1"/>
    </xf>
    <xf numFmtId="9" fontId="9" fillId="0" borderId="4" xfId="1" applyFont="1" applyFill="1" applyBorder="1" applyAlignment="1">
      <alignment horizontal="center" vertical="center"/>
    </xf>
    <xf numFmtId="0" fontId="5" fillId="0" borderId="4" xfId="0" applyFont="1" applyBorder="1" applyAlignment="1" applyProtection="1">
      <alignment horizontal="center" vertical="center"/>
      <protection locked="0"/>
    </xf>
    <xf numFmtId="0" fontId="5" fillId="0" borderId="15" xfId="0" applyFont="1" applyBorder="1" applyAlignment="1" applyProtection="1">
      <alignment horizontal="center" vertical="center" wrapText="1"/>
      <protection locked="0"/>
    </xf>
    <xf numFmtId="0" fontId="5" fillId="0" borderId="20" xfId="0" applyFont="1" applyBorder="1" applyAlignment="1" applyProtection="1">
      <alignment horizontal="center" vertical="center" wrapText="1"/>
      <protection locked="0"/>
    </xf>
    <xf numFmtId="0" fontId="5" fillId="0" borderId="15" xfId="0" applyFont="1" applyBorder="1" applyAlignment="1">
      <alignment horizontal="center" vertical="center"/>
    </xf>
    <xf numFmtId="0" fontId="5" fillId="0" borderId="20" xfId="0" applyFont="1" applyBorder="1" applyAlignment="1">
      <alignment horizontal="center" vertical="center"/>
    </xf>
    <xf numFmtId="0" fontId="5" fillId="0" borderId="15"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5" fillId="0" borderId="38" xfId="0" applyFont="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38" xfId="0" applyFont="1" applyBorder="1" applyAlignment="1" applyProtection="1">
      <alignment horizontal="center" vertical="center"/>
      <protection locked="0"/>
    </xf>
    <xf numFmtId="0" fontId="5" fillId="0" borderId="38" xfId="0" applyFont="1" applyBorder="1" applyAlignment="1">
      <alignment horizontal="center" vertical="center"/>
    </xf>
    <xf numFmtId="0" fontId="5" fillId="0" borderId="4" xfId="0" quotePrefix="1" applyFont="1" applyBorder="1" applyAlignment="1" applyProtection="1">
      <alignment horizontal="center" vertical="center" wrapText="1"/>
      <protection locked="0"/>
    </xf>
    <xf numFmtId="0" fontId="5" fillId="0" borderId="15" xfId="0" quotePrefix="1" applyFont="1" applyBorder="1" applyAlignment="1" applyProtection="1">
      <alignment horizontal="center" vertical="center" wrapText="1"/>
      <protection locked="0"/>
    </xf>
    <xf numFmtId="0" fontId="5" fillId="0" borderId="20" xfId="0" quotePrefix="1" applyFont="1" applyBorder="1" applyAlignment="1" applyProtection="1">
      <alignment horizontal="center" vertical="center" wrapText="1"/>
      <protection locked="0"/>
    </xf>
    <xf numFmtId="9" fontId="9" fillId="0" borderId="15" xfId="1" applyFont="1" applyBorder="1" applyAlignment="1">
      <alignment horizontal="center" vertical="center"/>
    </xf>
    <xf numFmtId="9" fontId="9" fillId="0" borderId="20" xfId="1" applyFont="1" applyBorder="1" applyAlignment="1">
      <alignment horizontal="center" vertical="center"/>
    </xf>
    <xf numFmtId="9" fontId="10" fillId="0" borderId="15" xfId="1" applyFont="1" applyBorder="1" applyAlignment="1" applyProtection="1">
      <alignment horizontal="center" vertical="center" wrapText="1"/>
      <protection hidden="1"/>
    </xf>
    <xf numFmtId="9" fontId="10" fillId="0" borderId="20" xfId="1" applyFont="1" applyBorder="1" applyAlignment="1" applyProtection="1">
      <alignment horizontal="center" vertical="center" wrapText="1"/>
      <protection hidden="1"/>
    </xf>
    <xf numFmtId="0" fontId="9" fillId="0" borderId="38" xfId="0" applyFont="1" applyBorder="1" applyAlignment="1">
      <alignment horizontal="center" vertical="center"/>
    </xf>
    <xf numFmtId="0" fontId="9" fillId="0" borderId="15" xfId="0" applyFont="1" applyBorder="1" applyAlignment="1" applyProtection="1">
      <alignment horizontal="center" vertical="center" wrapText="1"/>
      <protection locked="0"/>
    </xf>
    <xf numFmtId="0" fontId="9" fillId="0" borderId="38" xfId="0" applyFont="1" applyBorder="1" applyAlignment="1" applyProtection="1">
      <alignment horizontal="center" vertical="center" wrapText="1"/>
      <protection locked="0"/>
    </xf>
    <xf numFmtId="9" fontId="9" fillId="0" borderId="38" xfId="1" applyFont="1" applyBorder="1" applyAlignment="1">
      <alignment horizontal="center" vertical="center"/>
    </xf>
    <xf numFmtId="9" fontId="10" fillId="0" borderId="38" xfId="1" applyFont="1" applyBorder="1" applyAlignment="1" applyProtection="1">
      <alignment horizontal="center" vertical="center" wrapText="1"/>
      <protection hidden="1"/>
    </xf>
    <xf numFmtId="0" fontId="9" fillId="0" borderId="20" xfId="0" applyFont="1" applyBorder="1" applyAlignment="1" applyProtection="1">
      <alignment horizontal="center" vertical="center" wrapText="1"/>
      <protection locked="0"/>
    </xf>
    <xf numFmtId="0" fontId="10" fillId="10" borderId="20"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9" borderId="5" xfId="0" applyFont="1" applyFill="1" applyBorder="1" applyAlignment="1">
      <alignment horizontal="center" vertical="center" wrapText="1"/>
    </xf>
    <xf numFmtId="0" fontId="10" fillId="9" borderId="6" xfId="0" applyFont="1" applyFill="1" applyBorder="1" applyAlignment="1">
      <alignment horizontal="center" vertical="center" wrapText="1"/>
    </xf>
    <xf numFmtId="0" fontId="10" fillId="9" borderId="7" xfId="0" applyFont="1" applyFill="1" applyBorder="1" applyAlignment="1">
      <alignment horizontal="center" vertical="center" wrapText="1"/>
    </xf>
    <xf numFmtId="0" fontId="10" fillId="0" borderId="15" xfId="0" applyFont="1" applyBorder="1" applyAlignment="1" applyProtection="1">
      <alignment horizontal="center" vertical="center" wrapText="1"/>
      <protection hidden="1"/>
    </xf>
    <xf numFmtId="0" fontId="10" fillId="0" borderId="38" xfId="0" applyFont="1" applyBorder="1" applyAlignment="1" applyProtection="1">
      <alignment horizontal="center" vertical="center" wrapText="1"/>
      <protection hidden="1"/>
    </xf>
    <xf numFmtId="0" fontId="10" fillId="0" borderId="20" xfId="0" applyFont="1" applyBorder="1" applyAlignment="1" applyProtection="1">
      <alignment horizontal="center" vertical="center" wrapText="1"/>
      <protection hidden="1"/>
    </xf>
    <xf numFmtId="0" fontId="10" fillId="3" borderId="8"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xf>
    <xf numFmtId="0" fontId="10" fillId="5" borderId="26" xfId="0" applyFont="1" applyFill="1" applyBorder="1" applyAlignment="1">
      <alignment horizontal="center" vertical="center"/>
    </xf>
    <xf numFmtId="0" fontId="10" fillId="5" borderId="18" xfId="0" applyFont="1" applyFill="1" applyBorder="1" applyAlignment="1">
      <alignment horizontal="center" vertical="center"/>
    </xf>
    <xf numFmtId="0" fontId="10" fillId="6" borderId="13" xfId="0" applyFont="1" applyFill="1" applyBorder="1" applyAlignment="1">
      <alignment horizontal="center" vertical="center"/>
    </xf>
    <xf numFmtId="0" fontId="10" fillId="6" borderId="14"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9" xfId="0" applyFont="1" applyFill="1" applyBorder="1" applyAlignment="1">
      <alignment horizontal="center" vertical="center"/>
    </xf>
    <xf numFmtId="0" fontId="10" fillId="7"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9" borderId="15" xfId="0" applyFont="1" applyFill="1" applyBorder="1" applyAlignment="1">
      <alignment horizontal="center" vertical="center" wrapText="1"/>
    </xf>
    <xf numFmtId="0" fontId="10" fillId="9" borderId="20"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2" applyFont="1" applyBorder="1" applyAlignment="1">
      <alignment horizontal="center"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14" fontId="23" fillId="0" borderId="4" xfId="2" applyNumberFormat="1" applyFont="1" applyBorder="1" applyAlignment="1">
      <alignment horizontal="center" vertical="center" wrapText="1"/>
    </xf>
    <xf numFmtId="0" fontId="10" fillId="5" borderId="25" xfId="0" applyFont="1" applyFill="1" applyBorder="1" applyAlignment="1">
      <alignment horizontal="center" vertical="center" textRotation="90" wrapText="1"/>
    </xf>
    <xf numFmtId="0" fontId="10" fillId="5" borderId="5" xfId="0" applyFont="1" applyFill="1" applyBorder="1" applyAlignment="1">
      <alignment horizontal="center" vertical="center" textRotation="90" wrapText="1"/>
    </xf>
    <xf numFmtId="0" fontId="10" fillId="5" borderId="4" xfId="0" applyFont="1" applyFill="1" applyBorder="1" applyAlignment="1">
      <alignment horizontal="center" vertical="center"/>
    </xf>
    <xf numFmtId="0" fontId="10" fillId="5"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20" xfId="0" applyBorder="1" applyAlignment="1">
      <alignment horizontal="center" vertical="center" wrapText="1"/>
    </xf>
    <xf numFmtId="0" fontId="0" fillId="0" borderId="38" xfId="0" applyBorder="1" applyAlignment="1">
      <alignment horizontal="center" vertical="center" wrapText="1"/>
    </xf>
    <xf numFmtId="0" fontId="10" fillId="3" borderId="8"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5" borderId="5"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23" xfId="0" applyFont="1" applyFill="1" applyBorder="1" applyAlignment="1">
      <alignment horizontal="center" vertical="center" wrapText="1"/>
    </xf>
    <xf numFmtId="0" fontId="0" fillId="0" borderId="32" xfId="0" applyBorder="1" applyAlignment="1">
      <alignment vertical="center" wrapText="1"/>
    </xf>
    <xf numFmtId="0" fontId="0" fillId="0" borderId="0" xfId="0" applyAlignment="1">
      <alignment vertical="center" wrapText="1"/>
    </xf>
    <xf numFmtId="0" fontId="0" fillId="0" borderId="33" xfId="0" applyBorder="1" applyAlignment="1">
      <alignment vertical="center" wrapText="1"/>
    </xf>
    <xf numFmtId="0" fontId="0" fillId="0" borderId="28" xfId="0" applyBorder="1" applyAlignment="1">
      <alignment vertical="center" wrapText="1"/>
    </xf>
    <xf numFmtId="0" fontId="0" fillId="0" borderId="34" xfId="0" applyBorder="1" applyAlignment="1">
      <alignment horizontal="center" vertical="center" wrapText="1"/>
    </xf>
    <xf numFmtId="0" fontId="0" fillId="0" borderId="0" xfId="0" applyAlignment="1">
      <alignment horizontal="center" vertical="center" wrapText="1"/>
    </xf>
    <xf numFmtId="0" fontId="3" fillId="0" borderId="35" xfId="0" applyFont="1" applyBorder="1" applyAlignment="1">
      <alignment horizontal="center"/>
    </xf>
    <xf numFmtId="0" fontId="3" fillId="0" borderId="36" xfId="0" applyFont="1" applyBorder="1" applyAlignment="1">
      <alignment horizontal="center"/>
    </xf>
    <xf numFmtId="0" fontId="3" fillId="0" borderId="37" xfId="0" applyFont="1" applyBorder="1" applyAlignment="1">
      <alignment horizontal="center"/>
    </xf>
    <xf numFmtId="9" fontId="13" fillId="14" borderId="27" xfId="1" applyFont="1" applyFill="1" applyBorder="1" applyAlignment="1">
      <alignment horizontal="center" vertical="center" wrapText="1"/>
    </xf>
    <xf numFmtId="9" fontId="13" fillId="14" borderId="30" xfId="1" applyFont="1" applyFill="1" applyBorder="1" applyAlignment="1">
      <alignment horizontal="center" vertical="center" wrapText="1"/>
    </xf>
    <xf numFmtId="9" fontId="13" fillId="11" borderId="27" xfId="1" applyFont="1" applyFill="1" applyBorder="1" applyAlignment="1">
      <alignment horizontal="center" vertical="center" wrapText="1"/>
    </xf>
    <xf numFmtId="9" fontId="13" fillId="11" borderId="30" xfId="1" applyFont="1" applyFill="1" applyBorder="1" applyAlignment="1">
      <alignment horizontal="center" vertical="center" wrapText="1"/>
    </xf>
    <xf numFmtId="0" fontId="3" fillId="0" borderId="27"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0" xfId="0" applyFont="1" applyBorder="1" applyAlignment="1">
      <alignment horizontal="center" vertical="center" wrapText="1"/>
    </xf>
    <xf numFmtId="9" fontId="13" fillId="12" borderId="27" xfId="1" applyFont="1" applyFill="1" applyBorder="1" applyAlignment="1">
      <alignment horizontal="center" vertical="center" wrapText="1"/>
    </xf>
    <xf numFmtId="9" fontId="13" fillId="12" borderId="30" xfId="1" applyFont="1" applyFill="1" applyBorder="1" applyAlignment="1">
      <alignment horizontal="center" vertical="center" wrapText="1"/>
    </xf>
    <xf numFmtId="0" fontId="13" fillId="11" borderId="27" xfId="0" applyFont="1" applyFill="1" applyBorder="1" applyAlignment="1">
      <alignment horizontal="center" vertical="center" wrapText="1"/>
    </xf>
    <xf numFmtId="0" fontId="13" fillId="11" borderId="30" xfId="0" applyFont="1" applyFill="1" applyBorder="1" applyAlignment="1">
      <alignment horizontal="center" vertical="center" wrapText="1"/>
    </xf>
    <xf numFmtId="0" fontId="13" fillId="14" borderId="27" xfId="0" applyFont="1" applyFill="1" applyBorder="1" applyAlignment="1">
      <alignment horizontal="center" vertical="center" wrapText="1"/>
    </xf>
    <xf numFmtId="0" fontId="13" fillId="14" borderId="30" xfId="0" applyFont="1" applyFill="1" applyBorder="1" applyAlignment="1">
      <alignment horizontal="center" vertical="center" wrapText="1"/>
    </xf>
    <xf numFmtId="0" fontId="14" fillId="13" borderId="27" xfId="0" applyFont="1" applyFill="1" applyBorder="1" applyAlignment="1">
      <alignment horizontal="center" vertical="center" wrapText="1"/>
    </xf>
    <xf numFmtId="0" fontId="14" fillId="13" borderId="29" xfId="0" applyFont="1" applyFill="1" applyBorder="1" applyAlignment="1">
      <alignment horizontal="center" vertical="center" wrapText="1"/>
    </xf>
    <xf numFmtId="9" fontId="14" fillId="13" borderId="27" xfId="1" applyFont="1" applyFill="1" applyBorder="1" applyAlignment="1">
      <alignment horizontal="center" vertical="center" wrapText="1"/>
    </xf>
    <xf numFmtId="9" fontId="14" fillId="13" borderId="30" xfId="1" applyFont="1" applyFill="1" applyBorder="1" applyAlignment="1">
      <alignment horizontal="center" vertical="center" wrapText="1"/>
    </xf>
    <xf numFmtId="0" fontId="13" fillId="12" borderId="27" xfId="0" applyFont="1" applyFill="1" applyBorder="1" applyAlignment="1">
      <alignment horizontal="center" vertical="center" wrapText="1"/>
    </xf>
    <xf numFmtId="0" fontId="13" fillId="12" borderId="30" xfId="0" applyFont="1" applyFill="1" applyBorder="1" applyAlignment="1">
      <alignment horizontal="center" vertical="center" wrapText="1"/>
    </xf>
    <xf numFmtId="0" fontId="15" fillId="0" borderId="35"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6" fillId="0" borderId="93" xfId="0" applyFont="1" applyBorder="1" applyAlignment="1">
      <alignment horizontal="center" vertical="center" wrapText="1"/>
    </xf>
    <xf numFmtId="0" fontId="16" fillId="0" borderId="33" xfId="0" applyFont="1" applyBorder="1" applyAlignment="1">
      <alignment horizontal="center" vertical="center" wrapText="1"/>
    </xf>
    <xf numFmtId="0" fontId="16" fillId="0" borderId="94"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7" xfId="0" applyFont="1" applyBorder="1" applyAlignment="1">
      <alignment horizontal="center" vertical="center" wrapText="1"/>
    </xf>
    <xf numFmtId="0" fontId="15" fillId="0" borderId="0" xfId="0" applyFont="1" applyAlignment="1">
      <alignment horizontal="center" vertical="center"/>
    </xf>
    <xf numFmtId="0" fontId="16" fillId="0" borderId="4" xfId="0" applyFont="1" applyBorder="1" applyAlignment="1">
      <alignment horizontal="center" vertical="center" wrapText="1"/>
    </xf>
    <xf numFmtId="0" fontId="9" fillId="2" borderId="76"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2" xfId="0" applyFont="1" applyFill="1" applyBorder="1" applyAlignment="1">
      <alignment horizontal="center" vertical="center" wrapText="1"/>
    </xf>
    <xf numFmtId="0" fontId="25" fillId="0" borderId="39" xfId="0" applyFont="1" applyBorder="1" applyAlignment="1">
      <alignment horizontal="center" vertical="center"/>
    </xf>
    <xf numFmtId="0" fontId="25" fillId="0" borderId="42" xfId="0" applyFont="1" applyBorder="1" applyAlignment="1">
      <alignment horizontal="center" vertical="center"/>
    </xf>
    <xf numFmtId="0" fontId="25" fillId="0" borderId="67" xfId="0" applyFont="1" applyBorder="1" applyAlignment="1">
      <alignment horizontal="center" vertical="center"/>
    </xf>
    <xf numFmtId="0" fontId="25" fillId="0" borderId="40" xfId="0" applyFont="1" applyBorder="1" applyAlignment="1">
      <alignment horizontal="center" vertical="center"/>
    </xf>
    <xf numFmtId="0" fontId="25" fillId="0" borderId="41" xfId="0" applyFont="1" applyBorder="1" applyAlignment="1">
      <alignment horizontal="center" vertical="center"/>
    </xf>
    <xf numFmtId="0" fontId="25" fillId="0" borderId="44" xfId="0" applyFont="1" applyBorder="1" applyAlignment="1">
      <alignment horizontal="center" vertical="center" wrapText="1"/>
    </xf>
    <xf numFmtId="0" fontId="25" fillId="0" borderId="47" xfId="0" applyFont="1" applyBorder="1" applyAlignment="1">
      <alignment horizontal="center" vertical="center" wrapText="1"/>
    </xf>
    <xf numFmtId="0" fontId="25" fillId="0" borderId="70" xfId="0" applyFont="1" applyBorder="1" applyAlignment="1">
      <alignment horizontal="center" vertical="center" wrapText="1"/>
    </xf>
    <xf numFmtId="0" fontId="25" fillId="0" borderId="45"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46" xfId="0" applyFont="1" applyBorder="1" applyAlignment="1">
      <alignment horizontal="center" vertical="center" wrapText="1"/>
    </xf>
    <xf numFmtId="0" fontId="10" fillId="43" borderId="35" xfId="0" applyFont="1" applyFill="1" applyBorder="1" applyAlignment="1">
      <alignment horizontal="center" vertical="center" wrapText="1"/>
    </xf>
    <xf numFmtId="0" fontId="10" fillId="43" borderId="36" xfId="0" applyFont="1" applyFill="1" applyBorder="1" applyAlignment="1">
      <alignment horizontal="center" vertical="center" wrapText="1"/>
    </xf>
    <xf numFmtId="0" fontId="10" fillId="43" borderId="37" xfId="0" applyFont="1" applyFill="1" applyBorder="1" applyAlignment="1">
      <alignment horizontal="center" vertical="center" wrapText="1"/>
    </xf>
    <xf numFmtId="0" fontId="10" fillId="44" borderId="35" xfId="0" applyFont="1" applyFill="1" applyBorder="1" applyAlignment="1">
      <alignment horizontal="center" vertical="center" wrapText="1"/>
    </xf>
    <xf numFmtId="0" fontId="10" fillId="44" borderId="37" xfId="0" applyFont="1" applyFill="1" applyBorder="1" applyAlignment="1">
      <alignment horizontal="center" vertical="center" wrapText="1"/>
    </xf>
    <xf numFmtId="0" fontId="10" fillId="44" borderId="72" xfId="0" applyFont="1" applyFill="1" applyBorder="1" applyAlignment="1">
      <alignment horizontal="center" vertical="center" wrapText="1"/>
    </xf>
    <xf numFmtId="0" fontId="10" fillId="44" borderId="73" xfId="0" applyFont="1" applyFill="1" applyBorder="1" applyAlignment="1">
      <alignment horizontal="center" vertical="center" wrapText="1"/>
    </xf>
    <xf numFmtId="0" fontId="10" fillId="44" borderId="75" xfId="0" applyFont="1" applyFill="1" applyBorder="1" applyAlignment="1">
      <alignment horizontal="center" vertical="center" wrapText="1"/>
    </xf>
    <xf numFmtId="0" fontId="9" fillId="2" borderId="92"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0" borderId="67" xfId="0" applyFont="1" applyBorder="1" applyAlignment="1">
      <alignment horizontal="center" vertical="center"/>
    </xf>
    <xf numFmtId="0" fontId="9" fillId="0" borderId="40" xfId="0" applyFont="1" applyBorder="1" applyAlignment="1">
      <alignment horizontal="center" vertical="center"/>
    </xf>
    <xf numFmtId="0" fontId="9" fillId="0" borderId="41" xfId="0" applyFont="1" applyBorder="1" applyAlignment="1">
      <alignment horizontal="center" vertical="center"/>
    </xf>
    <xf numFmtId="0" fontId="9" fillId="2" borderId="44" xfId="0" applyFont="1" applyFill="1" applyBorder="1" applyAlignment="1">
      <alignment horizontal="center" vertical="center" wrapText="1"/>
    </xf>
    <xf numFmtId="0" fontId="9" fillId="2" borderId="47" xfId="0" applyFont="1" applyFill="1" applyBorder="1" applyAlignment="1">
      <alignment horizontal="center" vertical="center" wrapText="1"/>
    </xf>
    <xf numFmtId="0" fontId="9" fillId="2" borderId="54" xfId="0" applyFont="1" applyFill="1" applyBorder="1" applyAlignment="1">
      <alignment horizontal="center" vertical="center" wrapText="1"/>
    </xf>
    <xf numFmtId="0" fontId="9" fillId="2" borderId="48" xfId="0" applyFont="1" applyFill="1" applyBorder="1" applyAlignment="1">
      <alignment horizontal="center" vertical="center" wrapText="1"/>
    </xf>
    <xf numFmtId="0" fontId="9" fillId="0" borderId="4" xfId="0" applyFont="1" applyFill="1" applyBorder="1" applyAlignment="1" applyProtection="1">
      <alignment horizontal="center" vertical="center" wrapText="1"/>
      <protection locked="0"/>
    </xf>
    <xf numFmtId="0" fontId="5" fillId="0" borderId="4"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5" xfId="0" applyFont="1" applyFill="1" applyBorder="1" applyAlignment="1" applyProtection="1">
      <alignment horizontal="center" vertical="center" wrapText="1"/>
      <protection locked="0"/>
    </xf>
    <xf numFmtId="0" fontId="9" fillId="0" borderId="15" xfId="0" applyFont="1" applyFill="1" applyBorder="1" applyAlignment="1">
      <alignment horizontal="center" vertical="center" wrapText="1"/>
    </xf>
    <xf numFmtId="0" fontId="9" fillId="0" borderId="15" xfId="0" applyFont="1" applyFill="1" applyBorder="1" applyAlignment="1">
      <alignment horizontal="center" vertical="center"/>
    </xf>
    <xf numFmtId="0" fontId="10" fillId="0" borderId="15"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4" xfId="0" applyFont="1" applyFill="1" applyBorder="1" applyAlignment="1" applyProtection="1">
      <alignment horizontal="center" vertical="center" wrapText="1"/>
      <protection locked="0"/>
    </xf>
    <xf numFmtId="0" fontId="9" fillId="0" borderId="4" xfId="0" applyFont="1" applyFill="1" applyBorder="1" applyAlignment="1" applyProtection="1">
      <alignment horizontal="center" vertical="center"/>
      <protection hidden="1"/>
    </xf>
    <xf numFmtId="0" fontId="9" fillId="0" borderId="4" xfId="0" applyFont="1" applyFill="1" applyBorder="1" applyAlignment="1">
      <alignment horizontal="center" vertical="center" textRotation="90"/>
    </xf>
    <xf numFmtId="9" fontId="9" fillId="0" borderId="4" xfId="0" applyNumberFormat="1" applyFont="1" applyFill="1" applyBorder="1" applyAlignment="1" applyProtection="1">
      <alignment horizontal="center" vertical="center" textRotation="90"/>
      <protection hidden="1"/>
    </xf>
    <xf numFmtId="0" fontId="5" fillId="0" borderId="20" xfId="0" applyFont="1" applyFill="1" applyBorder="1" applyAlignment="1" applyProtection="1">
      <alignment horizontal="center" vertical="center" wrapText="1"/>
      <protection locked="0"/>
    </xf>
    <xf numFmtId="0" fontId="9" fillId="0" borderId="20" xfId="0" applyFont="1" applyFill="1" applyBorder="1" applyAlignment="1">
      <alignment horizontal="center" vertical="center" wrapText="1"/>
    </xf>
    <xf numFmtId="0" fontId="9" fillId="0" borderId="20" xfId="0" applyFont="1" applyFill="1" applyBorder="1" applyAlignment="1">
      <alignment horizontal="center" vertical="center"/>
    </xf>
    <xf numFmtId="0" fontId="10" fillId="0" borderId="20" xfId="0" applyFont="1" applyFill="1" applyBorder="1" applyAlignment="1">
      <alignment horizontal="center" vertical="center"/>
    </xf>
  </cellXfs>
  <cellStyles count="3">
    <cellStyle name="Normal" xfId="0" builtinId="0"/>
    <cellStyle name="Normal 2" xfId="2" xr:uid="{67919BBC-2DED-499E-836C-F33BA0CFA363}"/>
    <cellStyle name="Porcentaje" xfId="1" builtinId="5"/>
  </cellStyles>
  <dxfs count="146">
    <dxf>
      <fill>
        <patternFill>
          <bgColor rgb="FFFFC000"/>
        </patternFill>
      </fill>
    </dxf>
    <dxf>
      <fill>
        <patternFill>
          <bgColor rgb="FF00B050"/>
        </patternFill>
      </fill>
    </dxf>
    <dxf>
      <fill>
        <patternFill>
          <bgColor rgb="FFFFFF00"/>
        </patternFill>
      </fill>
    </dxf>
    <dxf>
      <fill>
        <patternFill>
          <bgColor rgb="FFE26B0A"/>
        </patternFill>
      </fill>
    </dxf>
    <dxf>
      <fill>
        <patternFill>
          <bgColor rgb="FFFF000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00B050"/>
        </patternFill>
      </fill>
    </dxf>
    <dxf>
      <fill>
        <patternFill>
          <bgColor rgb="FFFFFF00"/>
        </patternFill>
      </fill>
    </dxf>
    <dxf>
      <fill>
        <patternFill>
          <bgColor rgb="FFE26B0A"/>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E26B0A"/>
        </patternFill>
      </fill>
    </dxf>
    <dxf>
      <fill>
        <patternFill>
          <bgColor rgb="FFFF0000"/>
        </patternFill>
      </fill>
    </dxf>
    <dxf>
      <fill>
        <patternFill>
          <bgColor rgb="FF00B050"/>
        </patternFill>
      </fill>
    </dxf>
    <dxf>
      <fill>
        <patternFill>
          <bgColor rgb="FFFFFF00"/>
        </patternFill>
      </fill>
    </dxf>
    <dxf>
      <fill>
        <patternFill>
          <bgColor rgb="FFE26B0A"/>
        </patternFill>
      </fill>
    </dxf>
    <dxf>
      <fill>
        <patternFill>
          <bgColor rgb="FFFF0000"/>
        </patternFill>
      </fill>
    </dxf>
    <dxf>
      <fill>
        <patternFill>
          <bgColor rgb="FF00B050"/>
        </patternFill>
      </fill>
    </dxf>
    <dxf>
      <fill>
        <patternFill>
          <bgColor rgb="FFFFFF00"/>
        </patternFill>
      </fill>
    </dxf>
    <dxf>
      <fill>
        <patternFill>
          <bgColor rgb="FFE26B0A"/>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ill>
        <patternFill>
          <bgColor rgb="FFFF0000"/>
        </patternFill>
      </fill>
    </dxf>
    <dxf>
      <fill>
        <patternFill>
          <bgColor rgb="FFFF000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ill>
        <patternFill>
          <bgColor rgb="FFFF000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ill>
        <patternFill>
          <bgColor rgb="FFFF000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ill>
        <patternFill>
          <bgColor rgb="FFFF000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ill>
        <patternFill>
          <bgColor rgb="FFFF000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ill>
        <patternFill>
          <bgColor rgb="FFFF0000"/>
        </patternFill>
      </fill>
    </dxf>
    <dxf>
      <fill>
        <patternFill>
          <bgColor rgb="FFFF000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ill>
        <patternFill>
          <bgColor rgb="FFFF000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ill>
        <patternFill>
          <bgColor rgb="FFFF000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ill>
        <patternFill>
          <bgColor rgb="FFFF000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ill>
        <patternFill>
          <bgColor rgb="FFFF000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C000"/>
        </patternFill>
      </fill>
    </dxf>
    <dxf>
      <fill>
        <patternFill>
          <bgColor rgb="FFFFFF66"/>
        </patternFill>
      </fill>
    </dxf>
    <dxf>
      <fill>
        <patternFill>
          <bgColor rgb="FF00B050"/>
        </patternFill>
      </fill>
    </dxf>
    <dxf>
      <fill>
        <patternFill>
          <bgColor rgb="FFFF0000"/>
        </patternFill>
      </fill>
    </dxf>
    <dxf>
      <fill>
        <patternFill>
          <bgColor rgb="FFFFFF00"/>
        </patternFill>
      </fill>
    </dxf>
    <dxf>
      <fill>
        <patternFill>
          <bgColor rgb="FFE26B0A"/>
        </patternFill>
      </fill>
    </dxf>
    <dxf>
      <fill>
        <patternFill>
          <bgColor rgb="FFFF0000"/>
        </patternFill>
      </fill>
    </dxf>
    <dxf>
      <fill>
        <patternFill>
          <bgColor rgb="FF92D050"/>
        </patternFill>
      </fill>
    </dxf>
    <dxf>
      <fill>
        <patternFill>
          <bgColor rgb="FFFF0000"/>
        </patternFill>
      </fill>
    </dxf>
    <dxf>
      <fill>
        <patternFill>
          <bgColor theme="5"/>
        </patternFill>
      </fill>
    </dxf>
    <dxf>
      <fill>
        <patternFill>
          <bgColor rgb="FFFFFF00"/>
        </patternFill>
      </fill>
    </dxf>
    <dxf>
      <fill>
        <patternFill>
          <bgColor rgb="FFFF0000"/>
        </patternFill>
      </fill>
    </dxf>
    <dxf>
      <fill>
        <patternFill>
          <bgColor theme="5"/>
        </patternFill>
      </fill>
    </dxf>
    <dxf>
      <fill>
        <patternFill>
          <bgColor rgb="FFFFFF00"/>
        </patternFill>
      </fill>
    </dxf>
    <dxf>
      <fill>
        <patternFill>
          <bgColor rgb="FF92D050"/>
        </patternFill>
      </fill>
    </dxf>
    <dxf>
      <fill>
        <patternFill>
          <bgColor rgb="FFFFFF66"/>
        </patternFill>
      </fill>
    </dxf>
    <dxf>
      <font>
        <color auto="1"/>
      </font>
      <fill>
        <patternFill>
          <bgColor rgb="FF92D050"/>
        </patternFill>
      </fill>
    </dxf>
    <dxf>
      <fill>
        <patternFill>
          <bgColor rgb="FF00B050"/>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00B050"/>
        </patternFill>
      </fill>
    </dxf>
    <dxf>
      <fill>
        <patternFill>
          <bgColor rgb="FFFFFF00"/>
        </patternFill>
      </fill>
    </dxf>
    <dxf>
      <fill>
        <patternFill>
          <bgColor rgb="FFE26B0A"/>
        </patternFill>
      </fill>
    </dxf>
    <dxf>
      <fill>
        <patternFill>
          <bgColor rgb="FFFF0000"/>
        </patternFill>
      </fill>
    </dxf>
    <dxf>
      <fill>
        <patternFill>
          <bgColor rgb="FF92D050"/>
        </patternFill>
      </fill>
    </dxf>
    <dxf>
      <fill>
        <patternFill>
          <bgColor rgb="FFFFFF00"/>
        </patternFill>
      </fill>
    </dxf>
    <dxf>
      <fill>
        <patternFill>
          <bgColor rgb="FFE26B0A"/>
        </patternFill>
      </fill>
    </dxf>
    <dxf>
      <fill>
        <patternFill>
          <bgColor rgb="FFFF0000"/>
        </patternFill>
      </fill>
    </dxf>
    <dxf>
      <fill>
        <patternFill>
          <bgColor rgb="FF92D050"/>
        </patternFill>
      </fill>
    </dxf>
    <dxf>
      <fill>
        <patternFill>
          <bgColor rgb="FFFFFF0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ill>
        <patternFill>
          <bgColor rgb="FFFF0000"/>
        </patternFill>
      </fill>
    </dxf>
    <dxf>
      <fill>
        <patternFill>
          <bgColor rgb="FFFF0000"/>
        </patternFill>
      </fill>
    </dxf>
    <dxf>
      <fill>
        <patternFill>
          <bgColor rgb="FFFF0000"/>
        </patternFill>
      </fill>
    </dxf>
    <dxf>
      <font>
        <color theme="1"/>
      </font>
      <fill>
        <patternFill>
          <bgColor rgb="FFFFC000"/>
        </patternFill>
      </fill>
    </dxf>
    <dxf>
      <font>
        <color theme="1"/>
      </font>
      <fill>
        <patternFill>
          <bgColor rgb="FFFCF052"/>
        </patternFill>
      </fill>
    </dxf>
    <dxf>
      <font>
        <color theme="1"/>
      </font>
      <fill>
        <patternFill>
          <bgColor rgb="FF00B050"/>
        </patternFill>
      </fill>
    </dxf>
    <dxf>
      <font>
        <color theme="1"/>
      </font>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6</xdr:col>
      <xdr:colOff>1367118</xdr:colOff>
      <xdr:row>1</xdr:row>
      <xdr:rowOff>11206</xdr:rowOff>
    </xdr:from>
    <xdr:to>
      <xdr:col>6</xdr:col>
      <xdr:colOff>2061884</xdr:colOff>
      <xdr:row>2</xdr:row>
      <xdr:rowOff>3222</xdr:rowOff>
    </xdr:to>
    <xdr:pic>
      <xdr:nvPicPr>
        <xdr:cNvPr id="2" name="Imagen 8">
          <a:extLst>
            <a:ext uri="{FF2B5EF4-FFF2-40B4-BE49-F238E27FC236}">
              <a16:creationId xmlns:a16="http://schemas.microsoft.com/office/drawing/2014/main" id="{D04E59E1-6890-45F7-AA8A-CBE7EE2005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635193" y="182656"/>
          <a:ext cx="694766" cy="4111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37</xdr:col>
      <xdr:colOff>1035844</xdr:colOff>
      <xdr:row>1</xdr:row>
      <xdr:rowOff>57831</xdr:rowOff>
    </xdr:from>
    <xdr:to>
      <xdr:col>38</xdr:col>
      <xdr:colOff>680357</xdr:colOff>
      <xdr:row>2</xdr:row>
      <xdr:rowOff>255864</xdr:rowOff>
    </xdr:to>
    <xdr:pic>
      <xdr:nvPicPr>
        <xdr:cNvPr id="2" name="Imagen 8">
          <a:extLst>
            <a:ext uri="{FF2B5EF4-FFF2-40B4-BE49-F238E27FC236}">
              <a16:creationId xmlns:a16="http://schemas.microsoft.com/office/drawing/2014/main" id="{0F4415AA-AEA7-4165-B9AB-3605C937B5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20294" y="219756"/>
          <a:ext cx="1006588" cy="407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42</xdr:col>
      <xdr:colOff>1035844</xdr:colOff>
      <xdr:row>1</xdr:row>
      <xdr:rowOff>57831</xdr:rowOff>
    </xdr:from>
    <xdr:to>
      <xdr:col>43</xdr:col>
      <xdr:colOff>680357</xdr:colOff>
      <xdr:row>2</xdr:row>
      <xdr:rowOff>255864</xdr:rowOff>
    </xdr:to>
    <xdr:pic>
      <xdr:nvPicPr>
        <xdr:cNvPr id="3" name="Imagen 8">
          <a:extLst>
            <a:ext uri="{FF2B5EF4-FFF2-40B4-BE49-F238E27FC236}">
              <a16:creationId xmlns:a16="http://schemas.microsoft.com/office/drawing/2014/main" id="{9161C65E-639C-4874-AB8B-B4E80BD352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5283219" y="219756"/>
          <a:ext cx="806563" cy="407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40</xdr:col>
      <xdr:colOff>1035844</xdr:colOff>
      <xdr:row>1</xdr:row>
      <xdr:rowOff>57831</xdr:rowOff>
    </xdr:from>
    <xdr:to>
      <xdr:col>41</xdr:col>
      <xdr:colOff>680357</xdr:colOff>
      <xdr:row>2</xdr:row>
      <xdr:rowOff>255864</xdr:rowOff>
    </xdr:to>
    <xdr:pic>
      <xdr:nvPicPr>
        <xdr:cNvPr id="2" name="Imagen 8">
          <a:extLst>
            <a:ext uri="{FF2B5EF4-FFF2-40B4-BE49-F238E27FC236}">
              <a16:creationId xmlns:a16="http://schemas.microsoft.com/office/drawing/2014/main" id="{9A89C438-4FC8-409C-BA5B-17557FAE0C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79469" y="219756"/>
          <a:ext cx="882763" cy="407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40</xdr:col>
      <xdr:colOff>1035844</xdr:colOff>
      <xdr:row>1</xdr:row>
      <xdr:rowOff>57831</xdr:rowOff>
    </xdr:from>
    <xdr:to>
      <xdr:col>41</xdr:col>
      <xdr:colOff>680357</xdr:colOff>
      <xdr:row>2</xdr:row>
      <xdr:rowOff>255864</xdr:rowOff>
    </xdr:to>
    <xdr:pic>
      <xdr:nvPicPr>
        <xdr:cNvPr id="3" name="Imagen 8">
          <a:extLst>
            <a:ext uri="{FF2B5EF4-FFF2-40B4-BE49-F238E27FC236}">
              <a16:creationId xmlns:a16="http://schemas.microsoft.com/office/drawing/2014/main" id="{FA3404FB-2ABC-4AD7-AE17-6053289DFB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174694" y="248331"/>
          <a:ext cx="682738" cy="4075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323850</xdr:colOff>
      <xdr:row>1</xdr:row>
      <xdr:rowOff>38100</xdr:rowOff>
    </xdr:from>
    <xdr:to>
      <xdr:col>7</xdr:col>
      <xdr:colOff>323850</xdr:colOff>
      <xdr:row>1</xdr:row>
      <xdr:rowOff>333375</xdr:rowOff>
    </xdr:to>
    <xdr:pic>
      <xdr:nvPicPr>
        <xdr:cNvPr id="2" name="21 Imagen" descr="C:\Users\GDOCUMENTAL01\AppData\Local\Microsoft\Windows\Temporary Internet Files\Content.Outlook\76P9MKH1\LOGO FORMATO JPG.jpg">
          <a:extLst>
            <a:ext uri="{FF2B5EF4-FFF2-40B4-BE49-F238E27FC236}">
              <a16:creationId xmlns:a16="http://schemas.microsoft.com/office/drawing/2014/main" id="{3DF9DB30-403E-4049-B30A-A66C16E2F3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39025" y="209550"/>
          <a:ext cx="619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DCTSTGRIE01\Documents\GESTI&#211;N%20DE%20RIESGOS%20INTEGRAL\07.%20JULIO\Formatos\OADS-F-40%20MAPA%20DE%20RIESGOS%20DE%20GESTI&#211;N.xlsx" TargetMode="External"/><Relationship Id="rId1" Type="http://schemas.openxmlformats.org/officeDocument/2006/relationships/externalLinkPath" Target="https://d.docs.live.net/Users/DCTSTGRIE01/Documents/GESTI&#211;N%20DE%20RIESGOS%20INTEGRAL/07.%20JULIO/Formatos/OADS-F-40%20MAPA%20DE%20RIESGOS%20DE%20GESTI&#211;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Instructivo"/>
      <sheetName val="Mapa final"/>
      <sheetName val="Datos"/>
      <sheetName val="Mapa riesgos inherentes"/>
      <sheetName val="Mapa riesgos residuales"/>
      <sheetName val="Probabilidad"/>
      <sheetName val="Impacto"/>
      <sheetName val="Matriz"/>
      <sheetName val="CONTROL DE CAMBIOS"/>
    </sheetNames>
    <sheetDataSet>
      <sheetData sheetId="0"/>
      <sheetData sheetId="1"/>
      <sheetData sheetId="2"/>
      <sheetData sheetId="3"/>
      <sheetData sheetId="4"/>
      <sheetData sheetId="5">
        <row r="5">
          <cell r="B5" t="str">
            <v>Muy Baja</v>
          </cell>
          <cell r="C5">
            <v>0.2</v>
          </cell>
        </row>
        <row r="6">
          <cell r="B6" t="str">
            <v>Baja</v>
          </cell>
          <cell r="C6">
            <v>0.4</v>
          </cell>
        </row>
        <row r="7">
          <cell r="B7" t="str">
            <v>Media</v>
          </cell>
          <cell r="C7">
            <v>0.6</v>
          </cell>
        </row>
        <row r="8">
          <cell r="B8" t="str">
            <v>Alta</v>
          </cell>
          <cell r="C8">
            <v>0.8</v>
          </cell>
        </row>
        <row r="9">
          <cell r="B9" t="str">
            <v>Muy Alta</v>
          </cell>
          <cell r="C9">
            <v>1</v>
          </cell>
        </row>
      </sheetData>
      <sheetData sheetId="6">
        <row r="6">
          <cell r="D6" t="str">
            <v>El riesgo afecta la imagen de alguna área de la organización</v>
          </cell>
          <cell r="E6" t="str">
            <v xml:space="preserve">Afectación menor a 10 SMLMV </v>
          </cell>
          <cell r="F6" t="str">
            <v>Leve</v>
          </cell>
          <cell r="G6">
            <v>0.2</v>
          </cell>
        </row>
        <row r="7">
          <cell r="D7" t="str">
            <v>El riesgo afecta la imagen de la entidad internamente, de conocimiento general, nivel interno, de junta dircetiva y accionistas y/o de provedores</v>
          </cell>
          <cell r="E7" t="str">
            <v xml:space="preserve">Entre 10 y 50 SMLMV </v>
          </cell>
          <cell r="F7" t="str">
            <v>Menor</v>
          </cell>
          <cell r="G7">
            <v>0.4</v>
          </cell>
        </row>
        <row r="8">
          <cell r="D8" t="str">
            <v>El riesgo afecta la imagen de la entidad con algunos usuarios de relevancia frente al logro de los objetivos</v>
          </cell>
          <cell r="E8" t="str">
            <v xml:space="preserve">Entre 50 y 100 SMLMV </v>
          </cell>
          <cell r="F8" t="str">
            <v>Moderado</v>
          </cell>
          <cell r="G8">
            <v>0.6</v>
          </cell>
        </row>
        <row r="9">
          <cell r="D9" t="str">
            <v>El riesgo afecta la imagen de de la entidad con efecto publicitario sostenido a nivel de sector administrativo, nivel departamental o municipal</v>
          </cell>
          <cell r="E9" t="str">
            <v xml:space="preserve">Entre 100 y 500 SMLMV </v>
          </cell>
          <cell r="F9" t="str">
            <v>Mayor</v>
          </cell>
          <cell r="G9">
            <v>0.8</v>
          </cell>
        </row>
        <row r="10">
          <cell r="D10" t="str">
            <v>El riesgo afecta la imagen de la entidad a nivel nacional, con efecto publicitarios sostenible a nivel país</v>
          </cell>
          <cell r="E10" t="str">
            <v xml:space="preserve">Mayor a 500 SMLMV </v>
          </cell>
          <cell r="F10" t="str">
            <v>Catastrófico</v>
          </cell>
          <cell r="G10">
            <v>1</v>
          </cell>
        </row>
      </sheetData>
      <sheetData sheetId="7"/>
      <sheetData sheetId="8"/>
    </sheetDataSet>
  </externalBook>
</externalLink>
</file>

<file path=xl/persons/person.xml><?xml version="1.0" encoding="utf-8"?>
<personList xmlns="http://schemas.microsoft.com/office/spreadsheetml/2018/threadedcomments" xmlns:x="http://schemas.openxmlformats.org/spreadsheetml/2006/main">
  <person displayName="Lina Maria Patarroyo Parra" id="{6DFC70C3-9E7F-4095-B41A-522255525E07}" userId="7257a71b0a88d8a5" providerId="Windows Live"/>
  <person displayName="Melisa Suarez" id="{46FEE93B-78BD-4177-9AB1-E24B831C4681}" userId="ee02fdb6b5162957" providerId="Windows Live"/>
  <person displayName="INTERVENTORIA03 INT03. HSRT" id="{02C7E831-32C4-4BC1-9809-C936B252D5AB}" userId="S-1-5-21-324651544-513647328-3445691228-3485"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N11" dT="2024-05-30T22:07:58.15" personId="{6DFC70C3-9E7F-4095-B41A-522255525E07}" id="{D150BA88-8381-45D9-884B-D531DE06AAC2}">
    <text>Por qué?</text>
  </threadedComment>
</ThreadedComments>
</file>

<file path=xl/threadedComments/threadedComment2.xml><?xml version="1.0" encoding="utf-8"?>
<ThreadedComments xmlns="http://schemas.microsoft.com/office/spreadsheetml/2018/threadedcomments" xmlns:x="http://schemas.openxmlformats.org/spreadsheetml/2006/main">
  <threadedComment ref="N16" dT="2024-05-30T22:07:58.15" personId="{6DFC70C3-9E7F-4095-B41A-522255525E07}" id="{D150BA88-8381-45D8-884B-D531DE06AAC2}">
    <text>Por qué?</text>
  </threadedComment>
  <threadedComment ref="W88" dT="2024-07-14T17:30:10.21" personId="{46FEE93B-78BD-4177-9AB1-E24B831C4681}" id="{0C1CB7F7-B1F9-4CBC-BFDD-9625F748AA7E}">
    <text xml:space="preserve">PLAN DE ACCION PARA REDUCIR, ESTUDIO DE DEMANDA Y OFERTA DE LOS SERVICIOS ESPECIALIZADOS Y ESTUDIO DE LAS PATOLOGIAS DE LA POBLACION, POSIBILIDAD DE AMPLIAR LA DISPONIBILIDADA DE LOS SERVICIOS 
</text>
  </threadedComment>
  <threadedComment ref="W91" dT="2024-07-14T17:32:53.85" personId="{46FEE93B-78BD-4177-9AB1-E24B831C4681}" id="{5262BDBF-C1A1-406A-B5E9-F62D26F568B4}">
    <text xml:space="preserve">EL CONTROL DEBERIA ENFOCARSE EN E RIESGO QUE SON LAS AUTORIZACIONES, PORFESIONAL QUE LE HACE SEGUIMIENTO A A DOCUMENTNACION DE LA EPS CON AYUDA DEL REFENTES DE LA MISMA </text>
  </threadedComment>
  <threadedComment ref="AE91" dT="2024-07-14T17:33:58.39" personId="{46FEE93B-78BD-4177-9AB1-E24B831C4681}" id="{C7620DBF-9398-47E2-A498-54A254ACDA42}">
    <text xml:space="preserve">TRAMITES ADMINISTRATIVOS, CONTROL DE INGRESOS CON DOCUMENTACIÓN
</text>
  </threadedComment>
  <threadedComment ref="D92" dT="2024-07-14T17:37:44.31" personId="{46FEE93B-78BD-4177-9AB1-E24B831C4681}" id="{50348B6E-A22C-4065-9EED-1BC21035CFF7}">
    <text xml:space="preserve">EVALUAR EL RIESGO EN LABORATORIO CLINICO DE RESULTADOS ERRONEOS, CONFUSION DE MUESTRAS QUE PUEDEN GENERAR IMPACTO EN LA REPUTACION DEL HOSPITAL </text>
  </threadedComment>
  <threadedComment ref="AE147" dT="2024-04-10T14:50:00.65" personId="{02C7E831-32C4-4BC1-9809-C936B252D5AB}" id="{8A127156-CBBD-4E60-A60F-87B1CC828404}">
    <text>dividir</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 Id="rId4" Type="http://schemas.microsoft.com/office/2017/10/relationships/threadedComment" Target="../threadedComments/threadedComment2.x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FB0E6E-3F0D-4289-8009-CC13E2C14118}">
  <sheetPr codeName="Hoja1"/>
  <dimension ref="A1:M334"/>
  <sheetViews>
    <sheetView zoomScale="85" zoomScaleNormal="85" workbookViewId="0">
      <selection activeCell="D153" sqref="D153"/>
    </sheetView>
  </sheetViews>
  <sheetFormatPr baseColWidth="10" defaultColWidth="11.42578125" defaultRowHeight="12.75" x14ac:dyDescent="0.2"/>
  <cols>
    <col min="1" max="1" width="8.140625" style="4" customWidth="1"/>
    <col min="2" max="2" width="0.42578125" style="4" customWidth="1"/>
    <col min="3" max="3" width="5" style="4" customWidth="1"/>
    <col min="4" max="4" width="49.5703125" style="4" customWidth="1"/>
    <col min="5" max="5" width="52.7109375" style="3" customWidth="1"/>
    <col min="6" max="6" width="53.140625" style="4" customWidth="1"/>
    <col min="7" max="7" width="48.140625" style="3" customWidth="1"/>
    <col min="8" max="8" width="3.5703125" style="50" customWidth="1"/>
    <col min="9" max="13" width="11.42578125" style="50"/>
    <col min="14" max="16384" width="11.42578125" style="4"/>
  </cols>
  <sheetData>
    <row r="1" spans="1:13" ht="13.5" thickBot="1" x14ac:dyDescent="0.25"/>
    <row r="2" spans="1:13" ht="33" customHeight="1" x14ac:dyDescent="0.2">
      <c r="A2" s="497" t="s">
        <v>0</v>
      </c>
      <c r="B2" s="498"/>
      <c r="C2" s="499"/>
      <c r="D2" s="500" t="s">
        <v>1</v>
      </c>
      <c r="E2" s="500"/>
      <c r="F2" s="501"/>
      <c r="G2" s="51"/>
    </row>
    <row r="3" spans="1:13" ht="26.25" customHeight="1" thickBot="1" x14ac:dyDescent="0.25">
      <c r="A3" s="502" t="s">
        <v>2</v>
      </c>
      <c r="B3" s="503"/>
      <c r="C3" s="504"/>
      <c r="D3" s="503" t="s">
        <v>3</v>
      </c>
      <c r="E3" s="503"/>
      <c r="F3" s="505"/>
      <c r="G3" s="52" t="s">
        <v>4</v>
      </c>
    </row>
    <row r="5" spans="1:13" ht="27.75" customHeight="1" x14ac:dyDescent="0.2">
      <c r="C5" s="506" t="s">
        <v>5</v>
      </c>
      <c r="D5" s="506"/>
      <c r="E5" s="506"/>
      <c r="F5" s="506"/>
      <c r="G5" s="506"/>
    </row>
    <row r="6" spans="1:13" ht="80.25" customHeight="1" x14ac:dyDescent="0.2">
      <c r="A6" s="53" t="s">
        <v>6</v>
      </c>
      <c r="C6" s="507" t="s">
        <v>7</v>
      </c>
      <c r="D6" s="508"/>
      <c r="E6" s="508"/>
      <c r="F6" s="509" t="s">
        <v>8</v>
      </c>
      <c r="G6" s="510"/>
    </row>
    <row r="7" spans="1:13" ht="13.5" thickBot="1" x14ac:dyDescent="0.25">
      <c r="C7" s="54" t="s">
        <v>9</v>
      </c>
      <c r="D7" s="55" t="s">
        <v>10</v>
      </c>
      <c r="E7" s="56" t="s">
        <v>11</v>
      </c>
      <c r="F7" s="55" t="s">
        <v>12</v>
      </c>
      <c r="G7" s="56" t="s">
        <v>13</v>
      </c>
      <c r="H7" s="4"/>
      <c r="I7" s="4"/>
      <c r="J7" s="4"/>
      <c r="K7" s="4"/>
      <c r="L7" s="4"/>
      <c r="M7" s="4"/>
    </row>
    <row r="8" spans="1:13" ht="25.5" x14ac:dyDescent="0.2">
      <c r="A8" s="511" t="s">
        <v>14</v>
      </c>
      <c r="C8" s="57">
        <v>1</v>
      </c>
      <c r="D8" s="58" t="s">
        <v>15</v>
      </c>
      <c r="E8" s="59" t="s">
        <v>16</v>
      </c>
      <c r="F8" s="59" t="s">
        <v>17</v>
      </c>
      <c r="G8" s="60" t="s">
        <v>18</v>
      </c>
      <c r="H8" s="4"/>
      <c r="I8" s="4"/>
      <c r="J8" s="4"/>
      <c r="K8" s="4"/>
      <c r="L8" s="4"/>
      <c r="M8" s="4"/>
    </row>
    <row r="9" spans="1:13" ht="51" x14ac:dyDescent="0.2">
      <c r="A9" s="511"/>
      <c r="C9" s="57">
        <v>2</v>
      </c>
      <c r="D9" s="61" t="s">
        <v>19</v>
      </c>
      <c r="E9" s="62" t="s">
        <v>20</v>
      </c>
      <c r="F9" s="63" t="s">
        <v>21</v>
      </c>
      <c r="G9" s="64" t="s">
        <v>22</v>
      </c>
      <c r="H9" s="4"/>
      <c r="I9" s="4"/>
      <c r="J9" s="4"/>
      <c r="K9" s="4"/>
      <c r="L9" s="4"/>
      <c r="M9" s="4"/>
    </row>
    <row r="10" spans="1:13" ht="38.25" x14ac:dyDescent="0.2">
      <c r="A10" s="511"/>
      <c r="C10" s="57">
        <v>3</v>
      </c>
      <c r="D10" s="61" t="s">
        <v>23</v>
      </c>
      <c r="E10" s="62" t="s">
        <v>24</v>
      </c>
      <c r="F10" s="65" t="s">
        <v>25</v>
      </c>
      <c r="G10" s="64" t="s">
        <v>26</v>
      </c>
      <c r="H10" s="4"/>
      <c r="I10" s="4"/>
      <c r="J10" s="4"/>
      <c r="K10" s="4"/>
      <c r="L10" s="4"/>
      <c r="M10" s="4"/>
    </row>
    <row r="11" spans="1:13" ht="63.75" x14ac:dyDescent="0.2">
      <c r="A11" s="511"/>
      <c r="C11" s="57">
        <v>4</v>
      </c>
      <c r="D11" s="66" t="s">
        <v>27</v>
      </c>
      <c r="E11" s="67" t="s">
        <v>28</v>
      </c>
      <c r="F11" s="63" t="s">
        <v>29</v>
      </c>
      <c r="G11" s="64" t="s">
        <v>30</v>
      </c>
      <c r="H11" s="4"/>
      <c r="I11" s="4"/>
      <c r="J11" s="4"/>
      <c r="K11" s="4"/>
      <c r="L11" s="4"/>
      <c r="M11" s="4"/>
    </row>
    <row r="12" spans="1:13" ht="38.25" x14ac:dyDescent="0.2">
      <c r="A12" s="511"/>
      <c r="C12" s="57">
        <v>5</v>
      </c>
      <c r="D12" s="61" t="s">
        <v>31</v>
      </c>
      <c r="E12" s="62" t="s">
        <v>32</v>
      </c>
      <c r="F12" s="65" t="s">
        <v>33</v>
      </c>
      <c r="G12" s="68" t="s">
        <v>34</v>
      </c>
      <c r="H12" s="4"/>
      <c r="I12" s="4"/>
      <c r="J12" s="4"/>
      <c r="K12" s="4"/>
      <c r="L12" s="4"/>
      <c r="M12" s="4"/>
    </row>
    <row r="13" spans="1:13" ht="63.75" x14ac:dyDescent="0.2">
      <c r="A13" s="511"/>
      <c r="C13" s="57">
        <v>6</v>
      </c>
      <c r="D13" s="66" t="s">
        <v>35</v>
      </c>
      <c r="E13" s="62" t="s">
        <v>36</v>
      </c>
      <c r="F13" s="63" t="s">
        <v>37</v>
      </c>
      <c r="G13" s="64" t="s">
        <v>38</v>
      </c>
      <c r="H13" s="4"/>
      <c r="I13" s="4"/>
      <c r="J13" s="4"/>
      <c r="K13" s="4"/>
      <c r="L13" s="4"/>
      <c r="M13" s="4"/>
    </row>
    <row r="14" spans="1:13" ht="51" x14ac:dyDescent="0.2">
      <c r="A14" s="511"/>
      <c r="C14" s="57">
        <v>7</v>
      </c>
      <c r="D14" s="61" t="s">
        <v>39</v>
      </c>
      <c r="E14" s="63" t="s">
        <v>40</v>
      </c>
      <c r="F14" s="63" t="s">
        <v>41</v>
      </c>
      <c r="G14" s="64" t="s">
        <v>42</v>
      </c>
      <c r="H14" s="4"/>
      <c r="I14" s="4"/>
      <c r="J14" s="4"/>
      <c r="K14" s="4"/>
      <c r="L14" s="4"/>
      <c r="M14" s="4"/>
    </row>
    <row r="15" spans="1:13" ht="38.25" x14ac:dyDescent="0.2">
      <c r="A15" s="511"/>
      <c r="C15" s="57">
        <v>8</v>
      </c>
      <c r="D15" s="66" t="s">
        <v>43</v>
      </c>
      <c r="E15" s="67" t="s">
        <v>44</v>
      </c>
      <c r="F15" s="63" t="s">
        <v>45</v>
      </c>
      <c r="G15" s="68"/>
      <c r="H15" s="4"/>
      <c r="I15" s="4"/>
      <c r="J15" s="4"/>
      <c r="K15" s="4"/>
      <c r="L15" s="4"/>
      <c r="M15" s="4"/>
    </row>
    <row r="16" spans="1:13" ht="38.25" x14ac:dyDescent="0.2">
      <c r="A16" s="511"/>
      <c r="C16" s="57">
        <v>9</v>
      </c>
      <c r="D16" s="69" t="s">
        <v>46</v>
      </c>
      <c r="E16" s="67"/>
      <c r="F16" s="65"/>
      <c r="G16" s="68"/>
      <c r="H16" s="4"/>
      <c r="I16" s="4"/>
      <c r="J16" s="4"/>
      <c r="K16" s="4"/>
      <c r="L16" s="4"/>
      <c r="M16" s="4"/>
    </row>
    <row r="17" spans="1:13" ht="25.5" x14ac:dyDescent="0.2">
      <c r="A17" s="511"/>
      <c r="C17" s="57">
        <v>10</v>
      </c>
      <c r="D17" s="70" t="s">
        <v>47</v>
      </c>
      <c r="E17" s="67"/>
      <c r="F17" s="65"/>
      <c r="G17" s="68"/>
      <c r="H17" s="4"/>
      <c r="I17" s="4"/>
      <c r="J17" s="4"/>
      <c r="K17" s="4"/>
      <c r="L17" s="4"/>
      <c r="M17" s="4"/>
    </row>
    <row r="18" spans="1:13" ht="25.5" x14ac:dyDescent="0.2">
      <c r="A18" s="511"/>
      <c r="C18" s="57">
        <v>11</v>
      </c>
      <c r="D18" s="69" t="s">
        <v>48</v>
      </c>
      <c r="E18" s="67"/>
      <c r="F18" s="65"/>
      <c r="G18" s="71"/>
      <c r="H18" s="4"/>
      <c r="I18" s="4"/>
      <c r="J18" s="4"/>
      <c r="K18" s="4"/>
      <c r="L18" s="4"/>
      <c r="M18" s="4"/>
    </row>
    <row r="19" spans="1:13" x14ac:dyDescent="0.2">
      <c r="A19" s="511"/>
      <c r="C19" s="57">
        <v>12</v>
      </c>
      <c r="D19" s="69" t="s">
        <v>49</v>
      </c>
      <c r="E19" s="67"/>
      <c r="F19" s="65"/>
      <c r="G19" s="71"/>
      <c r="H19" s="4"/>
      <c r="I19" s="4"/>
      <c r="J19" s="4"/>
      <c r="K19" s="4"/>
      <c r="L19" s="4"/>
      <c r="M19" s="4"/>
    </row>
    <row r="20" spans="1:13" ht="26.25" thickBot="1" x14ac:dyDescent="0.25">
      <c r="A20" s="511"/>
      <c r="C20" s="57">
        <v>13</v>
      </c>
      <c r="D20" s="72" t="s">
        <v>50</v>
      </c>
      <c r="E20" s="73"/>
      <c r="F20" s="74"/>
      <c r="G20" s="75"/>
      <c r="H20" s="4"/>
      <c r="I20" s="4"/>
      <c r="J20" s="4"/>
      <c r="K20" s="4"/>
      <c r="L20" s="4"/>
      <c r="M20" s="4"/>
    </row>
    <row r="21" spans="1:13" ht="51" x14ac:dyDescent="0.2">
      <c r="A21" s="511" t="s">
        <v>51</v>
      </c>
      <c r="C21" s="57">
        <v>14</v>
      </c>
      <c r="D21" s="76" t="s">
        <v>52</v>
      </c>
      <c r="E21" s="77" t="s">
        <v>53</v>
      </c>
      <c r="F21" s="77" t="s">
        <v>54</v>
      </c>
      <c r="G21" s="78" t="s">
        <v>55</v>
      </c>
      <c r="H21" s="4"/>
      <c r="I21" s="4"/>
      <c r="J21" s="4"/>
      <c r="K21" s="4"/>
      <c r="L21" s="4"/>
      <c r="M21" s="4"/>
    </row>
    <row r="22" spans="1:13" ht="63.75" x14ac:dyDescent="0.2">
      <c r="A22" s="511"/>
      <c r="C22" s="57">
        <v>15</v>
      </c>
      <c r="D22" s="79" t="s">
        <v>56</v>
      </c>
      <c r="E22" s="80" t="s">
        <v>57</v>
      </c>
      <c r="F22" s="80" t="s">
        <v>58</v>
      </c>
      <c r="G22" s="81" t="s">
        <v>59</v>
      </c>
      <c r="H22" s="4"/>
      <c r="I22" s="4"/>
      <c r="J22" s="4"/>
      <c r="K22" s="4"/>
      <c r="L22" s="4"/>
      <c r="M22" s="4"/>
    </row>
    <row r="23" spans="1:13" ht="63.75" x14ac:dyDescent="0.2">
      <c r="A23" s="511"/>
      <c r="C23" s="57">
        <v>16</v>
      </c>
      <c r="D23" s="82" t="s">
        <v>60</v>
      </c>
      <c r="E23" s="80" t="s">
        <v>61</v>
      </c>
      <c r="F23" s="83" t="s">
        <v>62</v>
      </c>
      <c r="G23" s="84" t="s">
        <v>63</v>
      </c>
      <c r="H23" s="4"/>
      <c r="I23" s="4"/>
      <c r="J23" s="4"/>
      <c r="K23" s="4"/>
      <c r="L23" s="4"/>
      <c r="M23" s="4"/>
    </row>
    <row r="24" spans="1:13" ht="63.75" x14ac:dyDescent="0.2">
      <c r="A24" s="511"/>
      <c r="C24" s="57">
        <v>17</v>
      </c>
      <c r="D24" s="82" t="s">
        <v>64</v>
      </c>
      <c r="E24" s="80" t="s">
        <v>65</v>
      </c>
      <c r="F24" s="85" t="s">
        <v>66</v>
      </c>
      <c r="G24" s="81" t="s">
        <v>67</v>
      </c>
      <c r="H24" s="4"/>
      <c r="I24" s="4"/>
      <c r="J24" s="4"/>
      <c r="K24" s="4"/>
      <c r="L24" s="4"/>
      <c r="M24" s="4"/>
    </row>
    <row r="25" spans="1:13" ht="66.75" customHeight="1" x14ac:dyDescent="0.2">
      <c r="A25" s="511"/>
      <c r="C25" s="57">
        <v>18</v>
      </c>
      <c r="D25" s="79" t="s">
        <v>68</v>
      </c>
      <c r="E25" s="80" t="s">
        <v>69</v>
      </c>
      <c r="F25" s="86"/>
      <c r="G25" s="87"/>
      <c r="H25" s="4"/>
      <c r="I25" s="4"/>
      <c r="J25" s="4"/>
      <c r="K25" s="4"/>
      <c r="L25" s="4"/>
      <c r="M25" s="4"/>
    </row>
    <row r="26" spans="1:13" ht="38.25" x14ac:dyDescent="0.2">
      <c r="A26" s="511"/>
      <c r="C26" s="57">
        <v>19</v>
      </c>
      <c r="D26" s="88"/>
      <c r="E26" s="67" t="s">
        <v>70</v>
      </c>
      <c r="F26" s="86"/>
      <c r="G26" s="87"/>
      <c r="H26" s="4"/>
      <c r="I26" s="4"/>
      <c r="J26" s="4"/>
      <c r="K26" s="4"/>
      <c r="L26" s="4"/>
      <c r="M26" s="4"/>
    </row>
    <row r="27" spans="1:13" ht="26.25" thickBot="1" x14ac:dyDescent="0.25">
      <c r="A27" s="512"/>
      <c r="C27" s="57">
        <v>20</v>
      </c>
      <c r="D27" s="89"/>
      <c r="E27" s="73" t="s">
        <v>71</v>
      </c>
      <c r="F27" s="90"/>
      <c r="G27" s="91"/>
      <c r="H27" s="4"/>
      <c r="I27" s="4"/>
      <c r="J27" s="4"/>
      <c r="K27" s="4"/>
      <c r="L27" s="4"/>
      <c r="M27" s="4"/>
    </row>
    <row r="28" spans="1:13" ht="64.5" customHeight="1" x14ac:dyDescent="0.2">
      <c r="A28" s="418" t="s">
        <v>72</v>
      </c>
      <c r="C28" s="57">
        <v>21</v>
      </c>
      <c r="D28" s="76" t="s">
        <v>73</v>
      </c>
      <c r="E28" s="92" t="s">
        <v>74</v>
      </c>
      <c r="F28" s="93" t="s">
        <v>75</v>
      </c>
      <c r="G28" s="94" t="s">
        <v>76</v>
      </c>
      <c r="H28" s="4"/>
      <c r="I28" s="4"/>
      <c r="J28" s="4"/>
      <c r="K28" s="4"/>
      <c r="L28" s="4"/>
      <c r="M28" s="4"/>
    </row>
    <row r="29" spans="1:13" ht="63.75" x14ac:dyDescent="0.2">
      <c r="A29" s="419"/>
      <c r="C29" s="57">
        <v>22</v>
      </c>
      <c r="D29" s="95" t="s">
        <v>77</v>
      </c>
      <c r="E29" s="67" t="s">
        <v>78</v>
      </c>
      <c r="F29" s="96" t="s">
        <v>79</v>
      </c>
      <c r="G29" s="81" t="s">
        <v>80</v>
      </c>
      <c r="H29" s="4"/>
      <c r="I29" s="4"/>
      <c r="J29" s="4"/>
      <c r="K29" s="4"/>
      <c r="L29" s="4"/>
      <c r="M29" s="4"/>
    </row>
    <row r="30" spans="1:13" ht="63.75" x14ac:dyDescent="0.2">
      <c r="A30" s="419"/>
      <c r="C30" s="57">
        <v>23</v>
      </c>
      <c r="D30" s="95" t="s">
        <v>81</v>
      </c>
      <c r="E30" s="67" t="s">
        <v>82</v>
      </c>
      <c r="F30" s="96" t="s">
        <v>83</v>
      </c>
      <c r="G30" s="81" t="s">
        <v>84</v>
      </c>
      <c r="H30" s="4"/>
      <c r="I30" s="4"/>
      <c r="J30" s="4"/>
      <c r="K30" s="4"/>
      <c r="L30" s="4"/>
      <c r="M30" s="4"/>
    </row>
    <row r="31" spans="1:13" ht="63.75" x14ac:dyDescent="0.2">
      <c r="A31" s="419"/>
      <c r="C31" s="57">
        <v>24</v>
      </c>
      <c r="D31" s="82" t="s">
        <v>85</v>
      </c>
      <c r="E31" s="67" t="s">
        <v>86</v>
      </c>
      <c r="F31" s="96" t="s">
        <v>87</v>
      </c>
      <c r="G31" s="81" t="s">
        <v>88</v>
      </c>
      <c r="H31" s="4"/>
      <c r="I31" s="4"/>
      <c r="J31" s="4"/>
      <c r="K31" s="4"/>
      <c r="L31" s="4"/>
      <c r="M31" s="4"/>
    </row>
    <row r="32" spans="1:13" ht="51.75" customHeight="1" x14ac:dyDescent="0.2">
      <c r="A32" s="419"/>
      <c r="C32" s="57">
        <v>25</v>
      </c>
      <c r="D32" s="82" t="s">
        <v>89</v>
      </c>
      <c r="E32" s="67" t="s">
        <v>90</v>
      </c>
      <c r="F32" s="96" t="s">
        <v>91</v>
      </c>
      <c r="G32" s="81" t="s">
        <v>92</v>
      </c>
      <c r="H32" s="4"/>
      <c r="I32" s="4"/>
      <c r="J32" s="4"/>
      <c r="K32" s="4"/>
      <c r="L32" s="4"/>
      <c r="M32" s="4"/>
    </row>
    <row r="33" spans="1:13" ht="38.25" x14ac:dyDescent="0.2">
      <c r="A33" s="419"/>
      <c r="C33" s="57">
        <v>26</v>
      </c>
      <c r="D33" s="95" t="s">
        <v>93</v>
      </c>
      <c r="E33" s="67" t="s">
        <v>94</v>
      </c>
      <c r="F33" s="97"/>
      <c r="G33" s="98" t="s">
        <v>95</v>
      </c>
      <c r="H33" s="4"/>
      <c r="I33" s="4"/>
      <c r="J33" s="4"/>
      <c r="K33" s="4"/>
      <c r="L33" s="4"/>
      <c r="M33" s="4"/>
    </row>
    <row r="34" spans="1:13" ht="51" x14ac:dyDescent="0.2">
      <c r="A34" s="419"/>
      <c r="C34" s="57">
        <v>27</v>
      </c>
      <c r="D34" s="95"/>
      <c r="E34" s="67" t="s">
        <v>96</v>
      </c>
      <c r="F34" s="86"/>
      <c r="G34" s="98" t="s">
        <v>97</v>
      </c>
      <c r="H34" s="4"/>
      <c r="I34" s="4"/>
      <c r="J34" s="4"/>
      <c r="K34" s="4"/>
      <c r="L34" s="4"/>
      <c r="M34" s="4"/>
    </row>
    <row r="35" spans="1:13" ht="38.25" x14ac:dyDescent="0.2">
      <c r="A35" s="419"/>
      <c r="C35" s="57">
        <v>28</v>
      </c>
      <c r="D35" s="95"/>
      <c r="E35" s="67" t="s">
        <v>98</v>
      </c>
      <c r="F35" s="86"/>
      <c r="G35" s="98" t="s">
        <v>99</v>
      </c>
      <c r="H35" s="4"/>
      <c r="I35" s="4"/>
      <c r="J35" s="4"/>
      <c r="K35" s="4"/>
      <c r="L35" s="4"/>
      <c r="M35" s="4"/>
    </row>
    <row r="36" spans="1:13" ht="38.25" x14ac:dyDescent="0.2">
      <c r="A36" s="419"/>
      <c r="C36" s="57">
        <v>29</v>
      </c>
      <c r="D36" s="95"/>
      <c r="E36" s="67" t="s">
        <v>100</v>
      </c>
      <c r="F36" s="86"/>
      <c r="G36" s="98"/>
      <c r="H36" s="4"/>
      <c r="I36" s="4"/>
      <c r="J36" s="4"/>
      <c r="K36" s="4"/>
      <c r="L36" s="4"/>
      <c r="M36" s="4"/>
    </row>
    <row r="37" spans="1:13" ht="28.5" customHeight="1" x14ac:dyDescent="0.2">
      <c r="A37" s="419"/>
      <c r="C37" s="57">
        <v>30</v>
      </c>
      <c r="D37" s="95"/>
      <c r="E37" s="67" t="s">
        <v>101</v>
      </c>
      <c r="F37" s="86"/>
      <c r="G37" s="98"/>
      <c r="H37" s="4"/>
      <c r="I37" s="4"/>
      <c r="J37" s="4"/>
      <c r="K37" s="4"/>
      <c r="L37" s="4"/>
      <c r="M37" s="4"/>
    </row>
    <row r="38" spans="1:13" ht="26.25" thickBot="1" x14ac:dyDescent="0.25">
      <c r="A38" s="420"/>
      <c r="C38" s="57">
        <v>31</v>
      </c>
      <c r="D38" s="99"/>
      <c r="E38" s="73" t="s">
        <v>102</v>
      </c>
      <c r="F38" s="90"/>
      <c r="G38" s="100"/>
      <c r="H38" s="4"/>
      <c r="I38" s="4"/>
      <c r="J38" s="4"/>
      <c r="K38" s="4"/>
      <c r="L38" s="4"/>
      <c r="M38" s="4"/>
    </row>
    <row r="39" spans="1:13" ht="38.25" x14ac:dyDescent="0.2">
      <c r="A39" s="418" t="s">
        <v>103</v>
      </c>
      <c r="C39" s="57">
        <v>32</v>
      </c>
      <c r="D39" s="101" t="s">
        <v>104</v>
      </c>
      <c r="E39" s="102" t="s">
        <v>105</v>
      </c>
      <c r="F39" s="93" t="s">
        <v>106</v>
      </c>
      <c r="G39" s="103" t="s">
        <v>107</v>
      </c>
      <c r="H39" s="4"/>
      <c r="I39" s="4"/>
      <c r="J39" s="4"/>
      <c r="K39" s="4"/>
      <c r="L39" s="4"/>
      <c r="M39" s="4"/>
    </row>
    <row r="40" spans="1:13" ht="25.5" x14ac:dyDescent="0.2">
      <c r="A40" s="419"/>
      <c r="C40" s="57">
        <v>33</v>
      </c>
      <c r="D40" s="104" t="s">
        <v>108</v>
      </c>
      <c r="E40" s="105" t="s">
        <v>109</v>
      </c>
      <c r="F40" s="105" t="s">
        <v>110</v>
      </c>
      <c r="G40" s="106" t="s">
        <v>111</v>
      </c>
      <c r="H40" s="4"/>
      <c r="I40" s="4"/>
      <c r="J40" s="4"/>
      <c r="K40" s="4"/>
      <c r="L40" s="4"/>
      <c r="M40" s="4"/>
    </row>
    <row r="41" spans="1:13" ht="51" x14ac:dyDescent="0.2">
      <c r="A41" s="419"/>
      <c r="C41" s="57">
        <v>34</v>
      </c>
      <c r="D41" s="104" t="s">
        <v>112</v>
      </c>
      <c r="E41" s="96" t="s">
        <v>113</v>
      </c>
      <c r="F41" s="105" t="s">
        <v>114</v>
      </c>
      <c r="G41" s="98" t="s">
        <v>115</v>
      </c>
      <c r="H41" s="4"/>
      <c r="I41" s="4"/>
      <c r="J41" s="4"/>
      <c r="K41" s="4"/>
      <c r="L41" s="4"/>
      <c r="M41" s="4"/>
    </row>
    <row r="42" spans="1:13" ht="25.5" x14ac:dyDescent="0.2">
      <c r="A42" s="419"/>
      <c r="C42" s="57">
        <v>35</v>
      </c>
      <c r="D42" s="107" t="s">
        <v>116</v>
      </c>
      <c r="E42" s="96"/>
      <c r="F42" s="96"/>
      <c r="G42" s="98" t="s">
        <v>117</v>
      </c>
      <c r="H42" s="4"/>
      <c r="I42" s="4"/>
      <c r="J42" s="4"/>
      <c r="K42" s="4"/>
      <c r="L42" s="4"/>
      <c r="M42" s="4"/>
    </row>
    <row r="43" spans="1:13" ht="38.25" x14ac:dyDescent="0.2">
      <c r="A43" s="419"/>
      <c r="C43" s="57">
        <v>36</v>
      </c>
      <c r="D43" s="104" t="s">
        <v>118</v>
      </c>
      <c r="E43" s="96"/>
      <c r="F43" s="96"/>
      <c r="G43" s="98" t="s">
        <v>119</v>
      </c>
      <c r="H43" s="4"/>
      <c r="I43" s="4"/>
      <c r="J43" s="4"/>
      <c r="K43" s="4"/>
      <c r="L43" s="4"/>
      <c r="M43" s="4"/>
    </row>
    <row r="44" spans="1:13" x14ac:dyDescent="0.2">
      <c r="A44" s="419"/>
      <c r="C44" s="57">
        <v>37</v>
      </c>
      <c r="D44" s="107" t="s">
        <v>120</v>
      </c>
      <c r="E44" s="96"/>
      <c r="F44" s="96"/>
      <c r="G44" s="98" t="s">
        <v>121</v>
      </c>
      <c r="H44" s="4"/>
      <c r="I44" s="4"/>
      <c r="J44" s="4"/>
      <c r="K44" s="4"/>
      <c r="L44" s="4"/>
      <c r="M44" s="4"/>
    </row>
    <row r="45" spans="1:13" ht="25.5" x14ac:dyDescent="0.2">
      <c r="A45" s="419"/>
      <c r="C45" s="57">
        <v>38</v>
      </c>
      <c r="D45" s="104" t="s">
        <v>122</v>
      </c>
      <c r="E45" s="96"/>
      <c r="F45" s="96"/>
      <c r="G45" s="98"/>
      <c r="H45" s="4"/>
      <c r="I45" s="4"/>
      <c r="J45" s="4"/>
      <c r="K45" s="4"/>
      <c r="L45" s="4"/>
      <c r="M45" s="4"/>
    </row>
    <row r="46" spans="1:13" ht="13.5" thickBot="1" x14ac:dyDescent="0.25">
      <c r="A46" s="420"/>
      <c r="C46" s="57">
        <v>39</v>
      </c>
      <c r="D46" s="108" t="s">
        <v>123</v>
      </c>
      <c r="E46" s="109"/>
      <c r="F46" s="109"/>
      <c r="G46" s="110"/>
      <c r="H46" s="4"/>
      <c r="I46" s="4"/>
      <c r="J46" s="4"/>
      <c r="K46" s="4"/>
      <c r="L46" s="4"/>
      <c r="M46" s="4"/>
    </row>
    <row r="47" spans="1:13" ht="25.5" x14ac:dyDescent="0.2">
      <c r="A47" s="440" t="s">
        <v>124</v>
      </c>
      <c r="C47" s="57">
        <v>40</v>
      </c>
      <c r="D47" s="76" t="s">
        <v>125</v>
      </c>
      <c r="E47" s="111" t="s">
        <v>126</v>
      </c>
      <c r="F47" s="112" t="s">
        <v>127</v>
      </c>
      <c r="G47" s="113" t="s">
        <v>128</v>
      </c>
      <c r="H47" s="4"/>
      <c r="I47" s="4"/>
      <c r="J47" s="4"/>
      <c r="K47" s="4"/>
      <c r="L47" s="4"/>
      <c r="M47" s="4"/>
    </row>
    <row r="48" spans="1:13" ht="38.25" x14ac:dyDescent="0.2">
      <c r="A48" s="494"/>
      <c r="C48" s="57">
        <v>41</v>
      </c>
      <c r="D48" s="114" t="s">
        <v>129</v>
      </c>
      <c r="E48" s="67" t="s">
        <v>130</v>
      </c>
      <c r="F48" s="115" t="s">
        <v>131</v>
      </c>
      <c r="G48" s="116" t="s">
        <v>132</v>
      </c>
      <c r="H48" s="4"/>
      <c r="I48" s="4"/>
      <c r="J48" s="4"/>
      <c r="K48" s="4"/>
      <c r="L48" s="4"/>
      <c r="M48" s="4"/>
    </row>
    <row r="49" spans="1:7" s="4" customFormat="1" ht="38.25" x14ac:dyDescent="0.2">
      <c r="A49" s="494"/>
      <c r="C49" s="57">
        <v>42</v>
      </c>
      <c r="D49" s="82" t="s">
        <v>133</v>
      </c>
      <c r="E49" s="67" t="s">
        <v>134</v>
      </c>
      <c r="F49" s="115" t="s">
        <v>135</v>
      </c>
      <c r="G49" s="116" t="s">
        <v>136</v>
      </c>
    </row>
    <row r="50" spans="1:7" s="4" customFormat="1" ht="25.5" x14ac:dyDescent="0.2">
      <c r="A50" s="494"/>
      <c r="C50" s="57">
        <v>43</v>
      </c>
      <c r="D50" s="114" t="s">
        <v>137</v>
      </c>
      <c r="E50" s="117" t="s">
        <v>138</v>
      </c>
      <c r="F50" s="118" t="s">
        <v>139</v>
      </c>
      <c r="G50" s="98" t="s">
        <v>140</v>
      </c>
    </row>
    <row r="51" spans="1:7" s="4" customFormat="1" ht="38.25" x14ac:dyDescent="0.2">
      <c r="A51" s="494"/>
      <c r="C51" s="57">
        <v>44</v>
      </c>
      <c r="D51" s="114" t="s">
        <v>141</v>
      </c>
      <c r="F51" s="26"/>
      <c r="G51" s="116" t="s">
        <v>142</v>
      </c>
    </row>
    <row r="52" spans="1:7" s="4" customFormat="1" ht="51" x14ac:dyDescent="0.2">
      <c r="A52" s="494"/>
      <c r="C52" s="57">
        <v>45</v>
      </c>
      <c r="D52" s="114" t="s">
        <v>143</v>
      </c>
      <c r="E52" s="67"/>
      <c r="F52" s="26"/>
      <c r="G52" s="119"/>
    </row>
    <row r="53" spans="1:7" s="4" customFormat="1" ht="25.5" x14ac:dyDescent="0.2">
      <c r="A53" s="494"/>
      <c r="C53" s="57">
        <v>46</v>
      </c>
      <c r="D53" s="114" t="s">
        <v>144</v>
      </c>
      <c r="E53" s="67"/>
      <c r="F53" s="26"/>
      <c r="G53" s="119"/>
    </row>
    <row r="54" spans="1:7" s="4" customFormat="1" ht="25.5" x14ac:dyDescent="0.2">
      <c r="A54" s="494"/>
      <c r="C54" s="57">
        <v>47</v>
      </c>
      <c r="D54" s="82" t="s">
        <v>145</v>
      </c>
      <c r="E54" s="67"/>
      <c r="F54" s="26"/>
      <c r="G54" s="119"/>
    </row>
    <row r="55" spans="1:7" s="4" customFormat="1" ht="38.25" x14ac:dyDescent="0.2">
      <c r="A55" s="494"/>
      <c r="C55" s="57">
        <v>48</v>
      </c>
      <c r="D55" s="114" t="s">
        <v>146</v>
      </c>
      <c r="E55" s="67"/>
      <c r="F55" s="26"/>
      <c r="G55" s="119"/>
    </row>
    <row r="56" spans="1:7" s="4" customFormat="1" ht="26.25" thickBot="1" x14ac:dyDescent="0.25">
      <c r="A56" s="441"/>
      <c r="C56" s="57">
        <v>49</v>
      </c>
      <c r="D56" s="120" t="s">
        <v>147</v>
      </c>
      <c r="E56" s="121"/>
      <c r="F56" s="122"/>
      <c r="G56" s="100"/>
    </row>
    <row r="57" spans="1:7" s="4" customFormat="1" ht="38.25" x14ac:dyDescent="0.2">
      <c r="A57" s="418" t="s">
        <v>148</v>
      </c>
      <c r="C57" s="57">
        <v>50</v>
      </c>
      <c r="D57" s="76" t="s">
        <v>149</v>
      </c>
      <c r="E57" s="123" t="s">
        <v>150</v>
      </c>
      <c r="F57" s="93" t="s">
        <v>151</v>
      </c>
      <c r="G57" s="124" t="s">
        <v>152</v>
      </c>
    </row>
    <row r="58" spans="1:7" s="4" customFormat="1" ht="25.5" x14ac:dyDescent="0.2">
      <c r="A58" s="419"/>
      <c r="C58" s="57">
        <v>51</v>
      </c>
      <c r="D58" s="82" t="s">
        <v>153</v>
      </c>
      <c r="E58" s="125" t="s">
        <v>154</v>
      </c>
      <c r="F58" s="126" t="s">
        <v>155</v>
      </c>
      <c r="G58" s="127" t="s">
        <v>156</v>
      </c>
    </row>
    <row r="59" spans="1:7" s="4" customFormat="1" ht="38.25" x14ac:dyDescent="0.2">
      <c r="A59" s="419"/>
      <c r="C59" s="57">
        <v>52</v>
      </c>
      <c r="D59" s="82" t="s">
        <v>157</v>
      </c>
      <c r="E59" s="125" t="s">
        <v>158</v>
      </c>
      <c r="F59" s="96" t="s">
        <v>159</v>
      </c>
      <c r="G59" s="127" t="s">
        <v>160</v>
      </c>
    </row>
    <row r="60" spans="1:7" s="4" customFormat="1" ht="25.5" x14ac:dyDescent="0.2">
      <c r="A60" s="419"/>
      <c r="C60" s="57">
        <v>53</v>
      </c>
      <c r="D60" s="82" t="s">
        <v>161</v>
      </c>
      <c r="E60" s="67" t="s">
        <v>162</v>
      </c>
      <c r="F60" s="126" t="s">
        <v>163</v>
      </c>
      <c r="G60" s="71" t="s">
        <v>164</v>
      </c>
    </row>
    <row r="61" spans="1:7" s="4" customFormat="1" ht="25.5" x14ac:dyDescent="0.2">
      <c r="A61" s="419"/>
      <c r="C61" s="57">
        <v>54</v>
      </c>
      <c r="D61" s="128" t="s">
        <v>165</v>
      </c>
      <c r="E61" s="125" t="s">
        <v>166</v>
      </c>
      <c r="F61" s="96" t="s">
        <v>167</v>
      </c>
      <c r="G61" s="127" t="s">
        <v>168</v>
      </c>
    </row>
    <row r="62" spans="1:7" s="4" customFormat="1" ht="38.25" x14ac:dyDescent="0.2">
      <c r="A62" s="419"/>
      <c r="C62" s="57">
        <v>55</v>
      </c>
      <c r="D62" s="82"/>
      <c r="E62" s="125" t="s">
        <v>169</v>
      </c>
      <c r="F62" s="96"/>
      <c r="G62" s="127" t="s">
        <v>170</v>
      </c>
    </row>
    <row r="63" spans="1:7" s="4" customFormat="1" x14ac:dyDescent="0.2">
      <c r="A63" s="419"/>
      <c r="C63" s="57">
        <v>56</v>
      </c>
      <c r="D63" s="82"/>
      <c r="E63" s="67" t="s">
        <v>171</v>
      </c>
      <c r="F63" s="96"/>
      <c r="G63" s="71"/>
    </row>
    <row r="64" spans="1:7" s="4" customFormat="1" ht="26.25" thickBot="1" x14ac:dyDescent="0.25">
      <c r="A64" s="420"/>
      <c r="C64" s="57">
        <v>57</v>
      </c>
      <c r="D64" s="120"/>
      <c r="E64" s="73" t="s">
        <v>172</v>
      </c>
      <c r="F64" s="109"/>
      <c r="G64" s="75"/>
    </row>
    <row r="65" spans="1:7" s="4" customFormat="1" ht="76.5" x14ac:dyDescent="0.2">
      <c r="A65" s="418" t="s">
        <v>173</v>
      </c>
      <c r="C65" s="57">
        <v>58</v>
      </c>
      <c r="D65" s="129" t="s">
        <v>174</v>
      </c>
      <c r="E65" s="130" t="s">
        <v>175</v>
      </c>
      <c r="F65" s="93" t="s">
        <v>176</v>
      </c>
      <c r="G65" s="131" t="s">
        <v>177</v>
      </c>
    </row>
    <row r="66" spans="1:7" s="4" customFormat="1" ht="51" x14ac:dyDescent="0.2">
      <c r="A66" s="419"/>
      <c r="C66" s="57">
        <v>59</v>
      </c>
      <c r="D66" s="82" t="s">
        <v>178</v>
      </c>
      <c r="E66" s="67" t="s">
        <v>179</v>
      </c>
      <c r="F66" s="96" t="s">
        <v>180</v>
      </c>
      <c r="G66" s="132" t="s">
        <v>181</v>
      </c>
    </row>
    <row r="67" spans="1:7" s="4" customFormat="1" ht="51" x14ac:dyDescent="0.2">
      <c r="A67" s="419"/>
      <c r="C67" s="57">
        <v>60</v>
      </c>
      <c r="D67" s="82" t="s">
        <v>182</v>
      </c>
      <c r="E67" s="67" t="s">
        <v>183</v>
      </c>
      <c r="F67" s="96" t="s">
        <v>184</v>
      </c>
      <c r="G67" s="132" t="s">
        <v>185</v>
      </c>
    </row>
    <row r="68" spans="1:7" s="4" customFormat="1" ht="51" x14ac:dyDescent="0.2">
      <c r="A68" s="419"/>
      <c r="C68" s="57">
        <v>61</v>
      </c>
      <c r="D68" s="133" t="s">
        <v>186</v>
      </c>
      <c r="E68" s="67" t="s">
        <v>187</v>
      </c>
      <c r="F68" s="96"/>
      <c r="G68" s="132" t="s">
        <v>188</v>
      </c>
    </row>
    <row r="69" spans="1:7" s="4" customFormat="1" ht="51" x14ac:dyDescent="0.2">
      <c r="A69" s="419"/>
      <c r="C69" s="57">
        <v>62</v>
      </c>
      <c r="D69" s="82" t="s">
        <v>189</v>
      </c>
      <c r="E69" s="96" t="s">
        <v>190</v>
      </c>
      <c r="F69" s="26"/>
      <c r="G69" s="134"/>
    </row>
    <row r="70" spans="1:7" s="4" customFormat="1" ht="38.25" x14ac:dyDescent="0.2">
      <c r="A70" s="419"/>
      <c r="C70" s="57">
        <v>63</v>
      </c>
      <c r="D70" s="82" t="s">
        <v>191</v>
      </c>
      <c r="E70" s="67" t="s">
        <v>192</v>
      </c>
      <c r="F70" s="26"/>
      <c r="G70" s="87"/>
    </row>
    <row r="71" spans="1:7" s="4" customFormat="1" ht="25.5" x14ac:dyDescent="0.2">
      <c r="A71" s="419"/>
      <c r="C71" s="57">
        <v>64</v>
      </c>
      <c r="D71" s="133"/>
      <c r="E71" s="135" t="s">
        <v>193</v>
      </c>
      <c r="F71" s="136"/>
      <c r="G71" s="87"/>
    </row>
    <row r="72" spans="1:7" s="4" customFormat="1" ht="25.5" x14ac:dyDescent="0.2">
      <c r="A72" s="419"/>
      <c r="C72" s="57">
        <v>65</v>
      </c>
      <c r="D72" s="133"/>
      <c r="E72" s="135" t="s">
        <v>194</v>
      </c>
      <c r="F72" s="136"/>
      <c r="G72" s="87"/>
    </row>
    <row r="73" spans="1:7" s="4" customFormat="1" ht="38.25" x14ac:dyDescent="0.2">
      <c r="A73" s="419"/>
      <c r="C73" s="57">
        <v>66</v>
      </c>
      <c r="D73" s="133"/>
      <c r="E73" s="135" t="s">
        <v>195</v>
      </c>
      <c r="F73" s="136"/>
      <c r="G73" s="87"/>
    </row>
    <row r="74" spans="1:7" s="4" customFormat="1" ht="15" customHeight="1" x14ac:dyDescent="0.2">
      <c r="A74" s="419"/>
      <c r="C74" s="57">
        <v>67</v>
      </c>
      <c r="D74" s="133"/>
      <c r="E74" s="135" t="s">
        <v>196</v>
      </c>
      <c r="F74" s="136"/>
      <c r="G74" s="87"/>
    </row>
    <row r="75" spans="1:7" s="4" customFormat="1" ht="25.5" x14ac:dyDescent="0.2">
      <c r="A75" s="419"/>
      <c r="C75" s="57">
        <v>68</v>
      </c>
      <c r="D75" s="133"/>
      <c r="E75" s="135" t="s">
        <v>197</v>
      </c>
      <c r="F75" s="136"/>
      <c r="G75" s="87"/>
    </row>
    <row r="76" spans="1:7" s="4" customFormat="1" ht="27" customHeight="1" thickBot="1" x14ac:dyDescent="0.25">
      <c r="A76" s="420"/>
      <c r="C76" s="57">
        <v>69</v>
      </c>
      <c r="D76" s="89"/>
      <c r="E76" s="137" t="s">
        <v>198</v>
      </c>
      <c r="F76" s="90"/>
      <c r="G76" s="138"/>
    </row>
    <row r="77" spans="1:7" s="4" customFormat="1" ht="25.5" x14ac:dyDescent="0.2">
      <c r="A77" s="418" t="s">
        <v>199</v>
      </c>
      <c r="C77" s="57">
        <v>70</v>
      </c>
      <c r="D77" s="139" t="s">
        <v>200</v>
      </c>
      <c r="E77" s="140" t="s">
        <v>201</v>
      </c>
      <c r="F77" s="140" t="s">
        <v>202</v>
      </c>
      <c r="G77" s="141" t="s">
        <v>203</v>
      </c>
    </row>
    <row r="78" spans="1:7" s="4" customFormat="1" ht="25.5" x14ac:dyDescent="0.2">
      <c r="A78" s="419"/>
      <c r="C78" s="57">
        <v>71</v>
      </c>
      <c r="D78" s="142" t="s">
        <v>204</v>
      </c>
      <c r="E78" s="143" t="s">
        <v>205</v>
      </c>
      <c r="F78" s="144" t="s">
        <v>206</v>
      </c>
      <c r="G78" s="145" t="s">
        <v>206</v>
      </c>
    </row>
    <row r="79" spans="1:7" s="4" customFormat="1" ht="25.5" x14ac:dyDescent="0.2">
      <c r="A79" s="419"/>
      <c r="C79" s="57">
        <v>72</v>
      </c>
      <c r="D79" s="146" t="s">
        <v>207</v>
      </c>
      <c r="E79" s="147" t="s">
        <v>208</v>
      </c>
      <c r="F79" s="147" t="s">
        <v>209</v>
      </c>
      <c r="G79" s="148" t="s">
        <v>210</v>
      </c>
    </row>
    <row r="80" spans="1:7" s="4" customFormat="1" ht="38.25" x14ac:dyDescent="0.2">
      <c r="A80" s="419"/>
      <c r="C80" s="57">
        <v>73</v>
      </c>
      <c r="D80" s="142" t="s">
        <v>211</v>
      </c>
      <c r="E80" s="147" t="s">
        <v>212</v>
      </c>
      <c r="F80" s="147" t="s">
        <v>213</v>
      </c>
      <c r="G80" s="148" t="s">
        <v>214</v>
      </c>
    </row>
    <row r="81" spans="1:7" s="4" customFormat="1" ht="25.5" x14ac:dyDescent="0.2">
      <c r="A81" s="419"/>
      <c r="C81" s="57">
        <v>74</v>
      </c>
      <c r="D81" s="142" t="s">
        <v>215</v>
      </c>
      <c r="E81" s="147" t="s">
        <v>216</v>
      </c>
      <c r="F81" s="147" t="s">
        <v>217</v>
      </c>
      <c r="G81" s="148" t="s">
        <v>218</v>
      </c>
    </row>
    <row r="82" spans="1:7" s="4" customFormat="1" ht="26.25" thickBot="1" x14ac:dyDescent="0.25">
      <c r="A82" s="420"/>
      <c r="C82" s="57">
        <v>75</v>
      </c>
      <c r="D82" s="149"/>
      <c r="E82" s="150" t="s">
        <v>219</v>
      </c>
      <c r="F82" s="150"/>
      <c r="G82" s="151"/>
    </row>
    <row r="83" spans="1:7" s="4" customFormat="1" ht="62.25" customHeight="1" x14ac:dyDescent="0.2">
      <c r="A83" s="418" t="s">
        <v>220</v>
      </c>
      <c r="C83" s="57">
        <v>76</v>
      </c>
      <c r="D83" s="101" t="s">
        <v>221</v>
      </c>
      <c r="E83" s="102" t="s">
        <v>222</v>
      </c>
      <c r="F83" s="152" t="s">
        <v>223</v>
      </c>
      <c r="G83" s="153" t="s">
        <v>224</v>
      </c>
    </row>
    <row r="84" spans="1:7" s="4" customFormat="1" ht="38.25" x14ac:dyDescent="0.2">
      <c r="A84" s="419"/>
      <c r="C84" s="57">
        <v>77</v>
      </c>
      <c r="D84" s="154" t="s">
        <v>225</v>
      </c>
      <c r="E84" s="126" t="s">
        <v>226</v>
      </c>
      <c r="F84" s="105" t="s">
        <v>227</v>
      </c>
      <c r="G84" s="106" t="s">
        <v>228</v>
      </c>
    </row>
    <row r="85" spans="1:7" s="4" customFormat="1" ht="63.75" x14ac:dyDescent="0.2">
      <c r="A85" s="419"/>
      <c r="C85" s="57">
        <v>78</v>
      </c>
      <c r="D85" s="107" t="s">
        <v>229</v>
      </c>
      <c r="E85" s="105" t="s">
        <v>230</v>
      </c>
      <c r="F85" s="126" t="s">
        <v>231</v>
      </c>
      <c r="G85" s="155" t="s">
        <v>232</v>
      </c>
    </row>
    <row r="86" spans="1:7" s="4" customFormat="1" ht="25.5" x14ac:dyDescent="0.2">
      <c r="A86" s="419"/>
      <c r="C86" s="57">
        <v>79</v>
      </c>
      <c r="D86" s="154" t="s">
        <v>233</v>
      </c>
      <c r="E86" s="156" t="s">
        <v>234</v>
      </c>
      <c r="F86" s="156" t="s">
        <v>235</v>
      </c>
      <c r="G86" s="155" t="s">
        <v>236</v>
      </c>
    </row>
    <row r="87" spans="1:7" s="4" customFormat="1" ht="38.25" x14ac:dyDescent="0.2">
      <c r="A87" s="419"/>
      <c r="C87" s="57">
        <v>80</v>
      </c>
      <c r="D87" s="154" t="s">
        <v>237</v>
      </c>
      <c r="E87" s="156" t="s">
        <v>238</v>
      </c>
      <c r="F87" s="156" t="s">
        <v>239</v>
      </c>
      <c r="G87" s="155" t="s">
        <v>240</v>
      </c>
    </row>
    <row r="88" spans="1:7" s="4" customFormat="1" ht="51" x14ac:dyDescent="0.2">
      <c r="A88" s="419"/>
      <c r="C88" s="57">
        <v>81</v>
      </c>
      <c r="D88" s="107" t="s">
        <v>241</v>
      </c>
      <c r="E88" s="126" t="s">
        <v>242</v>
      </c>
      <c r="F88" s="126" t="s">
        <v>243</v>
      </c>
      <c r="G88" s="155" t="s">
        <v>244</v>
      </c>
    </row>
    <row r="89" spans="1:7" s="4" customFormat="1" ht="38.25" x14ac:dyDescent="0.2">
      <c r="A89" s="419"/>
      <c r="C89" s="57">
        <v>82</v>
      </c>
      <c r="D89" s="154" t="s">
        <v>245</v>
      </c>
      <c r="E89" s="156" t="s">
        <v>246</v>
      </c>
      <c r="F89" s="105" t="s">
        <v>247</v>
      </c>
      <c r="G89" s="106" t="s">
        <v>248</v>
      </c>
    </row>
    <row r="90" spans="1:7" s="4" customFormat="1" ht="89.25" x14ac:dyDescent="0.2">
      <c r="A90" s="419"/>
      <c r="C90" s="57">
        <v>83</v>
      </c>
      <c r="D90" s="154" t="s">
        <v>249</v>
      </c>
      <c r="E90" s="105" t="s">
        <v>250</v>
      </c>
      <c r="F90" s="105" t="s">
        <v>251</v>
      </c>
      <c r="G90" s="106" t="s">
        <v>252</v>
      </c>
    </row>
    <row r="91" spans="1:7" s="4" customFormat="1" ht="25.5" x14ac:dyDescent="0.2">
      <c r="A91" s="419"/>
      <c r="C91" s="57">
        <v>84</v>
      </c>
      <c r="D91" s="154" t="s">
        <v>253</v>
      </c>
      <c r="E91" s="126" t="s">
        <v>254</v>
      </c>
      <c r="F91" s="156"/>
      <c r="G91" s="157"/>
    </row>
    <row r="92" spans="1:7" s="4" customFormat="1" ht="38.25" x14ac:dyDescent="0.2">
      <c r="A92" s="419"/>
      <c r="C92" s="57">
        <v>85</v>
      </c>
      <c r="D92" s="154" t="s">
        <v>255</v>
      </c>
      <c r="E92" s="126" t="s">
        <v>256</v>
      </c>
      <c r="F92" s="156"/>
      <c r="G92" s="155"/>
    </row>
    <row r="93" spans="1:7" s="4" customFormat="1" ht="38.25" x14ac:dyDescent="0.2">
      <c r="A93" s="419"/>
      <c r="C93" s="57">
        <v>86</v>
      </c>
      <c r="D93" s="158"/>
      <c r="E93" s="156" t="s">
        <v>257</v>
      </c>
      <c r="F93" s="156"/>
      <c r="G93" s="155"/>
    </row>
    <row r="94" spans="1:7" s="4" customFormat="1" ht="39" thickBot="1" x14ac:dyDescent="0.25">
      <c r="A94" s="420"/>
      <c r="C94" s="57">
        <v>87</v>
      </c>
      <c r="D94" s="159"/>
      <c r="E94" s="160" t="s">
        <v>258</v>
      </c>
      <c r="F94" s="160"/>
      <c r="G94" s="161"/>
    </row>
    <row r="95" spans="1:7" s="4" customFormat="1" ht="25.5" customHeight="1" x14ac:dyDescent="0.2">
      <c r="A95" s="418" t="s">
        <v>259</v>
      </c>
      <c r="C95" s="57">
        <v>88</v>
      </c>
      <c r="D95" s="162" t="s">
        <v>260</v>
      </c>
      <c r="E95" s="140" t="s">
        <v>261</v>
      </c>
      <c r="F95" s="140" t="s">
        <v>262</v>
      </c>
      <c r="G95" s="163" t="s">
        <v>263</v>
      </c>
    </row>
    <row r="96" spans="1:7" s="4" customFormat="1" ht="15" customHeight="1" x14ac:dyDescent="0.2">
      <c r="A96" s="419"/>
      <c r="C96" s="57">
        <v>89</v>
      </c>
      <c r="D96" s="142" t="s">
        <v>264</v>
      </c>
      <c r="E96" s="164" t="s">
        <v>265</v>
      </c>
      <c r="F96" s="144" t="s">
        <v>266</v>
      </c>
      <c r="G96" s="165"/>
    </row>
    <row r="97" spans="1:7" s="4" customFormat="1" ht="15" customHeight="1" x14ac:dyDescent="0.2">
      <c r="A97" s="419"/>
      <c r="C97" s="57">
        <v>90</v>
      </c>
      <c r="D97" s="142" t="s">
        <v>267</v>
      </c>
      <c r="E97" s="147" t="s">
        <v>268</v>
      </c>
      <c r="F97" s="144" t="s">
        <v>269</v>
      </c>
      <c r="G97" s="165"/>
    </row>
    <row r="98" spans="1:7" s="4" customFormat="1" ht="25.5" x14ac:dyDescent="0.2">
      <c r="A98" s="419"/>
      <c r="C98" s="57">
        <v>91</v>
      </c>
      <c r="D98" s="142" t="s">
        <v>270</v>
      </c>
      <c r="E98" s="147"/>
      <c r="F98" s="147"/>
      <c r="G98" s="166" t="s">
        <v>271</v>
      </c>
    </row>
    <row r="99" spans="1:7" s="4" customFormat="1" ht="38.25" x14ac:dyDescent="0.2">
      <c r="A99" s="419"/>
      <c r="C99" s="57">
        <v>92</v>
      </c>
      <c r="D99" s="142" t="s">
        <v>272</v>
      </c>
      <c r="E99" s="147" t="s">
        <v>273</v>
      </c>
      <c r="F99" s="147" t="s">
        <v>274</v>
      </c>
      <c r="G99" s="166" t="s">
        <v>275</v>
      </c>
    </row>
    <row r="100" spans="1:7" s="4" customFormat="1" ht="15" customHeight="1" x14ac:dyDescent="0.2">
      <c r="A100" s="419"/>
      <c r="C100" s="57">
        <v>93</v>
      </c>
      <c r="D100" s="142" t="s">
        <v>276</v>
      </c>
      <c r="E100" s="147"/>
      <c r="F100" s="144"/>
      <c r="G100" s="165"/>
    </row>
    <row r="101" spans="1:7" s="4" customFormat="1" ht="25.5" x14ac:dyDescent="0.2">
      <c r="A101" s="419"/>
      <c r="C101" s="57">
        <v>94</v>
      </c>
      <c r="D101" s="142" t="s">
        <v>277</v>
      </c>
      <c r="E101" s="164" t="s">
        <v>278</v>
      </c>
      <c r="F101" s="147" t="s">
        <v>279</v>
      </c>
      <c r="G101" s="148" t="s">
        <v>280</v>
      </c>
    </row>
    <row r="102" spans="1:7" s="4" customFormat="1" ht="38.25" x14ac:dyDescent="0.2">
      <c r="A102" s="419"/>
      <c r="C102" s="57">
        <v>95</v>
      </c>
      <c r="D102" s="167" t="s">
        <v>281</v>
      </c>
      <c r="E102" s="164" t="s">
        <v>282</v>
      </c>
      <c r="F102" s="144" t="s">
        <v>283</v>
      </c>
      <c r="G102" s="148" t="s">
        <v>284</v>
      </c>
    </row>
    <row r="103" spans="1:7" s="4" customFormat="1" ht="25.5" x14ac:dyDescent="0.2">
      <c r="A103" s="419"/>
      <c r="C103" s="57">
        <v>96</v>
      </c>
      <c r="D103" s="142" t="s">
        <v>285</v>
      </c>
      <c r="E103" s="147" t="s">
        <v>286</v>
      </c>
      <c r="F103" s="147" t="s">
        <v>287</v>
      </c>
      <c r="G103" s="148" t="s">
        <v>275</v>
      </c>
    </row>
    <row r="104" spans="1:7" s="4" customFormat="1" ht="25.5" x14ac:dyDescent="0.2">
      <c r="A104" s="419"/>
      <c r="C104" s="57">
        <v>97</v>
      </c>
      <c r="D104" s="168" t="s">
        <v>288</v>
      </c>
      <c r="E104" s="147" t="s">
        <v>289</v>
      </c>
      <c r="F104" s="164" t="s">
        <v>290</v>
      </c>
      <c r="G104" s="166" t="s">
        <v>291</v>
      </c>
    </row>
    <row r="105" spans="1:7" s="4" customFormat="1" ht="25.5" x14ac:dyDescent="0.2">
      <c r="A105" s="419"/>
      <c r="C105" s="57">
        <v>98</v>
      </c>
      <c r="D105" s="82" t="s">
        <v>292</v>
      </c>
      <c r="E105" s="67" t="s">
        <v>293</v>
      </c>
      <c r="F105" s="67" t="s">
        <v>294</v>
      </c>
      <c r="G105" s="81" t="s">
        <v>295</v>
      </c>
    </row>
    <row r="106" spans="1:7" s="4" customFormat="1" ht="51" x14ac:dyDescent="0.2">
      <c r="A106" s="419"/>
      <c r="C106" s="57">
        <v>99</v>
      </c>
      <c r="D106" s="82" t="s">
        <v>296</v>
      </c>
      <c r="E106" s="67" t="s">
        <v>297</v>
      </c>
      <c r="F106" s="67" t="s">
        <v>298</v>
      </c>
      <c r="G106" s="169" t="s">
        <v>299</v>
      </c>
    </row>
    <row r="107" spans="1:7" s="4" customFormat="1" ht="25.5" x14ac:dyDescent="0.2">
      <c r="A107" s="419"/>
      <c r="C107" s="57">
        <v>100</v>
      </c>
      <c r="D107" s="82" t="s">
        <v>300</v>
      </c>
      <c r="E107" s="67" t="s">
        <v>301</v>
      </c>
      <c r="F107" s="67" t="s">
        <v>302</v>
      </c>
      <c r="G107" s="81" t="s">
        <v>303</v>
      </c>
    </row>
    <row r="108" spans="1:7" s="4" customFormat="1" ht="63.75" x14ac:dyDescent="0.2">
      <c r="A108" s="419"/>
      <c r="C108" s="57">
        <v>101</v>
      </c>
      <c r="D108" s="82" t="s">
        <v>304</v>
      </c>
      <c r="E108" s="67" t="s">
        <v>305</v>
      </c>
      <c r="F108" s="67" t="s">
        <v>306</v>
      </c>
      <c r="G108" s="169" t="s">
        <v>307</v>
      </c>
    </row>
    <row r="109" spans="1:7" s="4" customFormat="1" ht="38.25" x14ac:dyDescent="0.2">
      <c r="A109" s="419"/>
      <c r="C109" s="57">
        <v>102</v>
      </c>
      <c r="D109" s="82" t="s">
        <v>308</v>
      </c>
      <c r="E109" s="67" t="s">
        <v>309</v>
      </c>
      <c r="F109" s="170" t="s">
        <v>310</v>
      </c>
      <c r="G109" s="169" t="s">
        <v>311</v>
      </c>
    </row>
    <row r="110" spans="1:7" s="4" customFormat="1" ht="64.5" thickBot="1" x14ac:dyDescent="0.25">
      <c r="A110" s="420"/>
      <c r="C110" s="57">
        <v>103</v>
      </c>
      <c r="D110" s="120"/>
      <c r="E110" s="171" t="s">
        <v>312</v>
      </c>
      <c r="F110" s="73" t="s">
        <v>313</v>
      </c>
      <c r="G110" s="172"/>
    </row>
    <row r="111" spans="1:7" s="4" customFormat="1" ht="25.5" x14ac:dyDescent="0.2">
      <c r="A111" s="418" t="s">
        <v>314</v>
      </c>
      <c r="C111" s="57">
        <v>104</v>
      </c>
      <c r="D111" s="173" t="s">
        <v>315</v>
      </c>
      <c r="E111" s="93" t="s">
        <v>316</v>
      </c>
      <c r="F111" s="174" t="s">
        <v>317</v>
      </c>
      <c r="G111" s="175" t="s">
        <v>318</v>
      </c>
    </row>
    <row r="112" spans="1:7" s="4" customFormat="1" ht="38.25" x14ac:dyDescent="0.2">
      <c r="A112" s="419"/>
      <c r="C112" s="57">
        <v>105</v>
      </c>
      <c r="D112" s="104" t="s">
        <v>319</v>
      </c>
      <c r="E112" s="176" t="s">
        <v>320</v>
      </c>
      <c r="F112" s="176" t="s">
        <v>321</v>
      </c>
      <c r="G112" s="177" t="s">
        <v>322</v>
      </c>
    </row>
    <row r="113" spans="1:7" s="4" customFormat="1" ht="38.25" x14ac:dyDescent="0.2">
      <c r="A113" s="419"/>
      <c r="C113" s="57">
        <v>106</v>
      </c>
      <c r="D113" s="104" t="s">
        <v>323</v>
      </c>
      <c r="E113" s="178" t="s">
        <v>324</v>
      </c>
      <c r="F113" s="178"/>
      <c r="G113" s="179" t="s">
        <v>325</v>
      </c>
    </row>
    <row r="114" spans="1:7" s="4" customFormat="1" ht="15" customHeight="1" x14ac:dyDescent="0.2">
      <c r="A114" s="419"/>
      <c r="C114" s="57">
        <v>107</v>
      </c>
      <c r="D114" s="104"/>
      <c r="E114" s="176" t="s">
        <v>326</v>
      </c>
      <c r="F114" s="178"/>
      <c r="G114" s="179"/>
    </row>
    <row r="115" spans="1:7" s="4" customFormat="1" ht="38.25" x14ac:dyDescent="0.2">
      <c r="A115" s="419"/>
      <c r="C115" s="57">
        <v>108</v>
      </c>
      <c r="D115" s="104"/>
      <c r="E115" s="176" t="s">
        <v>327</v>
      </c>
      <c r="F115" s="178"/>
      <c r="G115" s="179"/>
    </row>
    <row r="116" spans="1:7" s="4" customFormat="1" ht="15.75" customHeight="1" thickBot="1" x14ac:dyDescent="0.25">
      <c r="A116" s="420"/>
      <c r="C116" s="57">
        <v>109</v>
      </c>
      <c r="D116" s="108"/>
      <c r="E116" s="180" t="s">
        <v>328</v>
      </c>
      <c r="F116" s="109"/>
      <c r="G116" s="181"/>
    </row>
    <row r="117" spans="1:7" s="4" customFormat="1" ht="51" x14ac:dyDescent="0.2">
      <c r="A117" s="440" t="s">
        <v>329</v>
      </c>
      <c r="C117" s="57">
        <v>110</v>
      </c>
      <c r="D117" s="182" t="s">
        <v>330</v>
      </c>
      <c r="E117" s="92" t="s">
        <v>331</v>
      </c>
      <c r="F117" s="93" t="s">
        <v>332</v>
      </c>
      <c r="G117" s="103" t="s">
        <v>333</v>
      </c>
    </row>
    <row r="118" spans="1:7" s="4" customFormat="1" ht="51.75" customHeight="1" x14ac:dyDescent="0.2">
      <c r="A118" s="494"/>
      <c r="C118" s="57">
        <v>111</v>
      </c>
      <c r="D118" s="95" t="s">
        <v>334</v>
      </c>
      <c r="E118" s="67" t="s">
        <v>335</v>
      </c>
      <c r="F118" s="96" t="s">
        <v>336</v>
      </c>
      <c r="G118" s="98" t="s">
        <v>337</v>
      </c>
    </row>
    <row r="119" spans="1:7" s="4" customFormat="1" ht="51.75" customHeight="1" x14ac:dyDescent="0.2">
      <c r="A119" s="494"/>
      <c r="C119" s="57">
        <v>112</v>
      </c>
      <c r="D119" s="95" t="s">
        <v>338</v>
      </c>
      <c r="E119" s="67" t="s">
        <v>339</v>
      </c>
      <c r="F119" s="96" t="s">
        <v>340</v>
      </c>
      <c r="G119" s="98" t="s">
        <v>341</v>
      </c>
    </row>
    <row r="120" spans="1:7" s="4" customFormat="1" ht="51" x14ac:dyDescent="0.2">
      <c r="A120" s="494"/>
      <c r="C120" s="57">
        <v>113</v>
      </c>
      <c r="D120" s="95"/>
      <c r="E120" s="67" t="s">
        <v>342</v>
      </c>
      <c r="F120" s="96" t="s">
        <v>343</v>
      </c>
      <c r="G120" s="98" t="s">
        <v>344</v>
      </c>
    </row>
    <row r="121" spans="1:7" s="4" customFormat="1" ht="51" x14ac:dyDescent="0.2">
      <c r="A121" s="494"/>
      <c r="C121" s="57">
        <v>114</v>
      </c>
      <c r="D121" s="95"/>
      <c r="E121" s="67" t="s">
        <v>345</v>
      </c>
      <c r="F121" s="96"/>
      <c r="G121" s="98"/>
    </row>
    <row r="122" spans="1:7" s="4" customFormat="1" ht="51" x14ac:dyDescent="0.2">
      <c r="A122" s="494"/>
      <c r="C122" s="57">
        <v>115</v>
      </c>
      <c r="D122" s="95"/>
      <c r="E122" s="67" t="s">
        <v>346</v>
      </c>
      <c r="F122" s="96"/>
      <c r="G122" s="98"/>
    </row>
    <row r="123" spans="1:7" s="4" customFormat="1" ht="25.5" x14ac:dyDescent="0.2">
      <c r="A123" s="494"/>
      <c r="C123" s="57">
        <v>116</v>
      </c>
      <c r="D123" s="104" t="s">
        <v>347</v>
      </c>
      <c r="E123" s="96" t="s">
        <v>348</v>
      </c>
      <c r="F123" s="96" t="s">
        <v>349</v>
      </c>
      <c r="G123" s="155" t="s">
        <v>350</v>
      </c>
    </row>
    <row r="124" spans="1:7" s="4" customFormat="1" ht="25.5" x14ac:dyDescent="0.2">
      <c r="A124" s="494"/>
      <c r="C124" s="57">
        <v>117</v>
      </c>
      <c r="D124" s="104" t="s">
        <v>351</v>
      </c>
      <c r="E124" s="96" t="s">
        <v>352</v>
      </c>
      <c r="F124" s="96" t="s">
        <v>353</v>
      </c>
      <c r="G124" s="155" t="s">
        <v>354</v>
      </c>
    </row>
    <row r="125" spans="1:7" s="4" customFormat="1" ht="25.5" x14ac:dyDescent="0.2">
      <c r="A125" s="494"/>
      <c r="C125" s="57">
        <v>118</v>
      </c>
      <c r="D125" s="104" t="s">
        <v>355</v>
      </c>
      <c r="E125" s="183" t="s">
        <v>356</v>
      </c>
      <c r="F125" s="96" t="s">
        <v>357</v>
      </c>
      <c r="G125" s="155" t="s">
        <v>358</v>
      </c>
    </row>
    <row r="126" spans="1:7" s="4" customFormat="1" ht="15" customHeight="1" x14ac:dyDescent="0.2">
      <c r="A126" s="494"/>
      <c r="C126" s="57">
        <v>119</v>
      </c>
      <c r="D126" s="183" t="s">
        <v>359</v>
      </c>
      <c r="E126" s="96" t="s">
        <v>360</v>
      </c>
      <c r="F126" s="183" t="s">
        <v>361</v>
      </c>
      <c r="G126" s="183" t="s">
        <v>362</v>
      </c>
    </row>
    <row r="127" spans="1:7" s="4" customFormat="1" ht="25.5" x14ac:dyDescent="0.2">
      <c r="A127" s="494"/>
      <c r="C127" s="57">
        <v>120</v>
      </c>
      <c r="D127" s="104" t="s">
        <v>363</v>
      </c>
      <c r="E127" s="183" t="s">
        <v>364</v>
      </c>
      <c r="F127" s="96"/>
      <c r="G127" s="155" t="s">
        <v>365</v>
      </c>
    </row>
    <row r="128" spans="1:7" s="4" customFormat="1" ht="25.5" x14ac:dyDescent="0.2">
      <c r="A128" s="494"/>
      <c r="C128" s="57">
        <v>121</v>
      </c>
      <c r="D128" s="104" t="s">
        <v>366</v>
      </c>
      <c r="E128" s="96" t="s">
        <v>367</v>
      </c>
      <c r="F128" s="96"/>
      <c r="G128" s="155" t="s">
        <v>368</v>
      </c>
    </row>
    <row r="129" spans="1:7" s="4" customFormat="1" ht="26.25" thickBot="1" x14ac:dyDescent="0.25">
      <c r="A129" s="441"/>
      <c r="C129" s="57">
        <v>122</v>
      </c>
      <c r="D129" s="183" t="s">
        <v>369</v>
      </c>
      <c r="E129" s="109"/>
      <c r="F129" s="109"/>
      <c r="G129" s="181"/>
    </row>
    <row r="130" spans="1:7" s="4" customFormat="1" ht="25.5" x14ac:dyDescent="0.2">
      <c r="A130" s="418" t="s">
        <v>370</v>
      </c>
      <c r="C130" s="57">
        <v>123</v>
      </c>
      <c r="D130" s="184" t="s">
        <v>371</v>
      </c>
      <c r="E130" s="185" t="s">
        <v>372</v>
      </c>
      <c r="F130" s="186" t="s">
        <v>373</v>
      </c>
      <c r="G130" s="187" t="s">
        <v>374</v>
      </c>
    </row>
    <row r="131" spans="1:7" s="4" customFormat="1" ht="39" customHeight="1" x14ac:dyDescent="0.2">
      <c r="A131" s="419"/>
      <c r="C131" s="57">
        <v>124</v>
      </c>
      <c r="D131" s="188" t="s">
        <v>375</v>
      </c>
      <c r="E131" s="189" t="s">
        <v>376</v>
      </c>
      <c r="F131" s="190" t="s">
        <v>377</v>
      </c>
      <c r="G131" s="191" t="s">
        <v>378</v>
      </c>
    </row>
    <row r="132" spans="1:7" s="4" customFormat="1" ht="26.25" customHeight="1" x14ac:dyDescent="0.2">
      <c r="A132" s="419"/>
      <c r="C132" s="57">
        <v>125</v>
      </c>
      <c r="D132" s="188" t="s">
        <v>379</v>
      </c>
      <c r="E132" s="190" t="s">
        <v>380</v>
      </c>
      <c r="F132" s="190" t="s">
        <v>381</v>
      </c>
      <c r="G132" s="191" t="s">
        <v>382</v>
      </c>
    </row>
    <row r="133" spans="1:7" s="4" customFormat="1" ht="26.25" customHeight="1" x14ac:dyDescent="0.2">
      <c r="A133" s="419"/>
      <c r="C133" s="57">
        <v>126</v>
      </c>
      <c r="D133" s="192" t="s">
        <v>383</v>
      </c>
      <c r="E133" s="189" t="s">
        <v>384</v>
      </c>
      <c r="F133" s="189"/>
      <c r="G133" s="191"/>
    </row>
    <row r="134" spans="1:7" s="4" customFormat="1" ht="26.25" customHeight="1" x14ac:dyDescent="0.2">
      <c r="A134" s="419"/>
      <c r="C134" s="57">
        <v>127</v>
      </c>
      <c r="D134" s="192" t="s">
        <v>385</v>
      </c>
      <c r="E134" s="189" t="s">
        <v>386</v>
      </c>
      <c r="F134" s="189"/>
      <c r="G134" s="191"/>
    </row>
    <row r="135" spans="1:7" s="4" customFormat="1" ht="26.25" customHeight="1" x14ac:dyDescent="0.2">
      <c r="A135" s="419"/>
      <c r="C135" s="57">
        <v>128</v>
      </c>
      <c r="D135" s="193" t="s">
        <v>387</v>
      </c>
      <c r="E135" s="189" t="s">
        <v>388</v>
      </c>
      <c r="F135" s="189"/>
      <c r="G135" s="191"/>
    </row>
    <row r="136" spans="1:7" s="4" customFormat="1" ht="15" customHeight="1" x14ac:dyDescent="0.2">
      <c r="A136" s="419"/>
      <c r="C136" s="57">
        <v>129</v>
      </c>
      <c r="D136" s="194" t="s">
        <v>389</v>
      </c>
      <c r="E136" s="97" t="s">
        <v>390</v>
      </c>
      <c r="F136" s="189"/>
      <c r="G136" s="191"/>
    </row>
    <row r="137" spans="1:7" s="4" customFormat="1" ht="26.25" customHeight="1" x14ac:dyDescent="0.2">
      <c r="A137" s="419"/>
      <c r="C137" s="57">
        <v>130</v>
      </c>
      <c r="D137" s="194"/>
      <c r="E137" s="189" t="s">
        <v>391</v>
      </c>
      <c r="F137" s="189"/>
      <c r="G137" s="191"/>
    </row>
    <row r="138" spans="1:7" s="4" customFormat="1" ht="15" customHeight="1" x14ac:dyDescent="0.2">
      <c r="A138" s="419"/>
      <c r="C138" s="57">
        <v>131</v>
      </c>
      <c r="D138" s="194"/>
      <c r="E138" s="97" t="s">
        <v>392</v>
      </c>
      <c r="F138" s="97"/>
      <c r="G138" s="195"/>
    </row>
    <row r="139" spans="1:7" s="4" customFormat="1" ht="27" customHeight="1" thickBot="1" x14ac:dyDescent="0.25">
      <c r="A139" s="420"/>
      <c r="C139" s="57">
        <v>132</v>
      </c>
      <c r="D139" s="196"/>
      <c r="E139" s="197" t="s">
        <v>393</v>
      </c>
      <c r="F139" s="198"/>
      <c r="G139" s="199"/>
    </row>
    <row r="140" spans="1:7" s="4" customFormat="1" ht="51" x14ac:dyDescent="0.2">
      <c r="A140" s="418" t="s">
        <v>394</v>
      </c>
      <c r="C140" s="57">
        <v>133</v>
      </c>
      <c r="D140" s="200" t="s">
        <v>395</v>
      </c>
      <c r="E140" s="201" t="s">
        <v>396</v>
      </c>
      <c r="F140" s="152" t="s">
        <v>397</v>
      </c>
      <c r="G140" s="202" t="s">
        <v>398</v>
      </c>
    </row>
    <row r="141" spans="1:7" s="4" customFormat="1" ht="51" x14ac:dyDescent="0.2">
      <c r="A141" s="419"/>
      <c r="C141" s="57">
        <v>134</v>
      </c>
      <c r="D141" s="154" t="s">
        <v>399</v>
      </c>
      <c r="E141" s="203" t="s">
        <v>400</v>
      </c>
      <c r="F141" s="156" t="s">
        <v>401</v>
      </c>
      <c r="G141" s="155" t="s">
        <v>402</v>
      </c>
    </row>
    <row r="142" spans="1:7" s="4" customFormat="1" ht="51" x14ac:dyDescent="0.2">
      <c r="A142" s="419"/>
      <c r="C142" s="57">
        <v>135</v>
      </c>
      <c r="D142" s="154" t="s">
        <v>403</v>
      </c>
      <c r="E142" s="156" t="s">
        <v>404</v>
      </c>
      <c r="F142" s="156" t="s">
        <v>405</v>
      </c>
      <c r="G142" s="204" t="s">
        <v>406</v>
      </c>
    </row>
    <row r="143" spans="1:7" s="4" customFormat="1" ht="51" x14ac:dyDescent="0.2">
      <c r="A143" s="419"/>
      <c r="C143" s="57">
        <v>136</v>
      </c>
      <c r="D143" s="154" t="s">
        <v>407</v>
      </c>
      <c r="E143" s="156" t="s">
        <v>408</v>
      </c>
      <c r="F143" s="156" t="s">
        <v>409</v>
      </c>
      <c r="G143" s="155" t="s">
        <v>410</v>
      </c>
    </row>
    <row r="144" spans="1:7" s="4" customFormat="1" ht="38.25" x14ac:dyDescent="0.2">
      <c r="A144" s="419"/>
      <c r="C144" s="57">
        <v>137</v>
      </c>
      <c r="D144" s="154" t="s">
        <v>411</v>
      </c>
      <c r="E144" s="156" t="s">
        <v>412</v>
      </c>
      <c r="F144" s="203" t="s">
        <v>413</v>
      </c>
      <c r="G144" s="204" t="s">
        <v>414</v>
      </c>
    </row>
    <row r="145" spans="1:7" s="4" customFormat="1" ht="38.25" x14ac:dyDescent="0.2">
      <c r="A145" s="419"/>
      <c r="C145" s="57">
        <v>138</v>
      </c>
      <c r="D145" s="154" t="s">
        <v>415</v>
      </c>
      <c r="E145" s="203" t="s">
        <v>416</v>
      </c>
      <c r="F145" s="156" t="s">
        <v>417</v>
      </c>
      <c r="G145" s="155" t="s">
        <v>418</v>
      </c>
    </row>
    <row r="146" spans="1:7" s="4" customFormat="1" ht="51" x14ac:dyDescent="0.2">
      <c r="A146" s="419"/>
      <c r="C146" s="57">
        <v>139</v>
      </c>
      <c r="D146" s="205" t="s">
        <v>419</v>
      </c>
      <c r="E146" s="156" t="s">
        <v>420</v>
      </c>
      <c r="F146" s="156" t="s">
        <v>421</v>
      </c>
      <c r="G146" s="155" t="s">
        <v>422</v>
      </c>
    </row>
    <row r="147" spans="1:7" s="4" customFormat="1" ht="38.25" x14ac:dyDescent="0.2">
      <c r="A147" s="419"/>
      <c r="C147" s="57">
        <v>140</v>
      </c>
      <c r="D147" s="154" t="s">
        <v>423</v>
      </c>
      <c r="E147" s="156" t="s">
        <v>424</v>
      </c>
      <c r="F147" s="156" t="s">
        <v>425</v>
      </c>
      <c r="G147" s="155" t="s">
        <v>426</v>
      </c>
    </row>
    <row r="148" spans="1:7" s="4" customFormat="1" ht="38.25" x14ac:dyDescent="0.2">
      <c r="A148" s="419"/>
      <c r="C148" s="57">
        <v>141</v>
      </c>
      <c r="D148" s="154" t="s">
        <v>427</v>
      </c>
      <c r="E148" s="156" t="s">
        <v>428</v>
      </c>
      <c r="F148" s="156" t="s">
        <v>429</v>
      </c>
      <c r="G148" s="155" t="s">
        <v>430</v>
      </c>
    </row>
    <row r="149" spans="1:7" s="4" customFormat="1" ht="38.25" x14ac:dyDescent="0.2">
      <c r="A149" s="419"/>
      <c r="C149" s="57">
        <v>142</v>
      </c>
      <c r="D149" s="154" t="s">
        <v>431</v>
      </c>
      <c r="E149" s="156" t="s">
        <v>432</v>
      </c>
      <c r="F149" s="156"/>
      <c r="G149" s="155" t="s">
        <v>433</v>
      </c>
    </row>
    <row r="150" spans="1:7" s="4" customFormat="1" ht="51" x14ac:dyDescent="0.2">
      <c r="A150" s="419"/>
      <c r="C150" s="57">
        <v>143</v>
      </c>
      <c r="D150" s="206" t="s">
        <v>434</v>
      </c>
      <c r="E150" s="156" t="s">
        <v>435</v>
      </c>
      <c r="F150" s="156"/>
      <c r="G150" s="155" t="s">
        <v>436</v>
      </c>
    </row>
    <row r="151" spans="1:7" s="4" customFormat="1" ht="90" thickBot="1" x14ac:dyDescent="0.25">
      <c r="A151" s="420"/>
      <c r="C151" s="57">
        <v>144</v>
      </c>
      <c r="D151" s="207"/>
      <c r="E151" s="208" t="s">
        <v>437</v>
      </c>
      <c r="F151" s="160"/>
      <c r="G151" s="161"/>
    </row>
    <row r="152" spans="1:7" s="4" customFormat="1" ht="38.25" x14ac:dyDescent="0.2">
      <c r="A152" s="418" t="s">
        <v>438</v>
      </c>
      <c r="C152" s="57">
        <v>145</v>
      </c>
      <c r="D152" s="182" t="s">
        <v>439</v>
      </c>
      <c r="E152" s="130" t="s">
        <v>440</v>
      </c>
      <c r="F152" s="209" t="s">
        <v>441</v>
      </c>
      <c r="G152" s="210" t="s">
        <v>442</v>
      </c>
    </row>
    <row r="153" spans="1:7" s="4" customFormat="1" ht="38.25" x14ac:dyDescent="0.2">
      <c r="A153" s="419"/>
      <c r="C153" s="57">
        <v>146</v>
      </c>
      <c r="D153" s="82" t="s">
        <v>443</v>
      </c>
      <c r="E153" s="211" t="s">
        <v>444</v>
      </c>
      <c r="F153" s="212" t="s">
        <v>445</v>
      </c>
      <c r="G153" s="71" t="s">
        <v>446</v>
      </c>
    </row>
    <row r="154" spans="1:7" s="4" customFormat="1" ht="25.5" x14ac:dyDescent="0.2">
      <c r="A154" s="419"/>
      <c r="C154" s="57">
        <v>147</v>
      </c>
      <c r="D154" s="213" t="s">
        <v>447</v>
      </c>
      <c r="E154" s="67" t="s">
        <v>448</v>
      </c>
      <c r="F154" s="212" t="s">
        <v>449</v>
      </c>
      <c r="G154" s="87" t="s">
        <v>450</v>
      </c>
    </row>
    <row r="155" spans="1:7" s="4" customFormat="1" ht="38.25" x14ac:dyDescent="0.2">
      <c r="A155" s="419"/>
      <c r="C155" s="57">
        <v>148</v>
      </c>
      <c r="D155" s="214" t="s">
        <v>451</v>
      </c>
      <c r="E155" s="215" t="s">
        <v>452</v>
      </c>
      <c r="F155" s="96" t="s">
        <v>453</v>
      </c>
      <c r="G155" s="87"/>
    </row>
    <row r="156" spans="1:7" s="4" customFormat="1" ht="51" x14ac:dyDescent="0.2">
      <c r="A156" s="419"/>
      <c r="C156" s="57">
        <v>149</v>
      </c>
      <c r="D156" s="82" t="s">
        <v>454</v>
      </c>
      <c r="E156" s="216" t="s">
        <v>455</v>
      </c>
      <c r="F156" s="96" t="s">
        <v>456</v>
      </c>
      <c r="G156" s="217"/>
    </row>
    <row r="157" spans="1:7" s="4" customFormat="1" ht="39" thickBot="1" x14ac:dyDescent="0.25">
      <c r="A157" s="420"/>
      <c r="C157" s="57">
        <v>150</v>
      </c>
      <c r="D157" s="120" t="s">
        <v>457</v>
      </c>
      <c r="E157" s="218" t="s">
        <v>458</v>
      </c>
      <c r="F157" s="122"/>
      <c r="G157" s="138"/>
    </row>
    <row r="158" spans="1:7" s="4" customFormat="1" ht="25.5" x14ac:dyDescent="0.2">
      <c r="A158" s="418" t="s">
        <v>459</v>
      </c>
      <c r="C158" s="57">
        <v>151</v>
      </c>
      <c r="D158" s="219" t="s">
        <v>460</v>
      </c>
      <c r="E158" s="220" t="s">
        <v>461</v>
      </c>
      <c r="F158" s="220" t="s">
        <v>462</v>
      </c>
      <c r="G158" s="221" t="s">
        <v>463</v>
      </c>
    </row>
    <row r="159" spans="1:7" s="4" customFormat="1" ht="25.5" x14ac:dyDescent="0.2">
      <c r="A159" s="419"/>
      <c r="C159" s="57">
        <v>152</v>
      </c>
      <c r="D159" s="222" t="s">
        <v>464</v>
      </c>
      <c r="E159" s="223" t="s">
        <v>465</v>
      </c>
      <c r="F159" s="223" t="s">
        <v>466</v>
      </c>
      <c r="G159" s="224" t="s">
        <v>467</v>
      </c>
    </row>
    <row r="160" spans="1:7" s="4" customFormat="1" ht="25.5" x14ac:dyDescent="0.2">
      <c r="A160" s="419"/>
      <c r="C160" s="57">
        <v>153</v>
      </c>
      <c r="D160" s="225" t="s">
        <v>468</v>
      </c>
      <c r="E160" s="223" t="s">
        <v>469</v>
      </c>
      <c r="F160" s="223" t="s">
        <v>470</v>
      </c>
      <c r="G160" s="226" t="s">
        <v>471</v>
      </c>
    </row>
    <row r="161" spans="1:7" s="4" customFormat="1" ht="25.5" x14ac:dyDescent="0.2">
      <c r="A161" s="419"/>
      <c r="C161" s="57">
        <v>154</v>
      </c>
      <c r="D161" s="222" t="s">
        <v>472</v>
      </c>
      <c r="E161" s="178" t="s">
        <v>473</v>
      </c>
      <c r="F161" s="178" t="s">
        <v>474</v>
      </c>
      <c r="G161" s="224" t="s">
        <v>475</v>
      </c>
    </row>
    <row r="162" spans="1:7" s="4" customFormat="1" ht="51" x14ac:dyDescent="0.2">
      <c r="A162" s="419"/>
      <c r="C162" s="57">
        <v>155</v>
      </c>
      <c r="D162" s="222" t="s">
        <v>476</v>
      </c>
      <c r="E162" s="178" t="s">
        <v>477</v>
      </c>
      <c r="F162" s="178" t="s">
        <v>478</v>
      </c>
      <c r="G162" s="224" t="s">
        <v>479</v>
      </c>
    </row>
    <row r="163" spans="1:7" s="4" customFormat="1" ht="25.5" x14ac:dyDescent="0.2">
      <c r="A163" s="419"/>
      <c r="C163" s="57">
        <v>156</v>
      </c>
      <c r="D163" s="222" t="s">
        <v>480</v>
      </c>
      <c r="E163" s="223" t="s">
        <v>481</v>
      </c>
      <c r="F163" s="223" t="s">
        <v>482</v>
      </c>
      <c r="G163" s="226" t="s">
        <v>483</v>
      </c>
    </row>
    <row r="164" spans="1:7" s="4" customFormat="1" ht="25.5" x14ac:dyDescent="0.2">
      <c r="A164" s="419"/>
      <c r="C164" s="57">
        <v>157</v>
      </c>
      <c r="D164" s="225" t="s">
        <v>484</v>
      </c>
      <c r="E164" s="223" t="s">
        <v>485</v>
      </c>
      <c r="F164" s="223" t="s">
        <v>486</v>
      </c>
      <c r="G164" s="224" t="s">
        <v>487</v>
      </c>
    </row>
    <row r="165" spans="1:7" s="4" customFormat="1" ht="25.5" x14ac:dyDescent="0.2">
      <c r="A165" s="419"/>
      <c r="C165" s="57">
        <v>158</v>
      </c>
      <c r="D165" s="225" t="s">
        <v>488</v>
      </c>
      <c r="E165" s="223" t="s">
        <v>489</v>
      </c>
      <c r="F165" s="223" t="s">
        <v>490</v>
      </c>
      <c r="G165" s="227" t="s">
        <v>491</v>
      </c>
    </row>
    <row r="166" spans="1:7" s="4" customFormat="1" x14ac:dyDescent="0.2">
      <c r="A166" s="419"/>
      <c r="C166" s="57">
        <v>159</v>
      </c>
      <c r="D166" s="225" t="s">
        <v>492</v>
      </c>
      <c r="E166" s="178" t="s">
        <v>493</v>
      </c>
      <c r="F166" s="223" t="s">
        <v>494</v>
      </c>
      <c r="G166" s="226"/>
    </row>
    <row r="167" spans="1:7" s="4" customFormat="1" ht="42.75" customHeight="1" x14ac:dyDescent="0.2">
      <c r="A167" s="419"/>
      <c r="C167" s="57">
        <v>160</v>
      </c>
      <c r="D167" s="225"/>
      <c r="E167" s="223" t="s">
        <v>495</v>
      </c>
      <c r="F167" s="228"/>
      <c r="G167" s="226"/>
    </row>
    <row r="168" spans="1:7" s="4" customFormat="1" ht="38.25" x14ac:dyDescent="0.2">
      <c r="A168" s="419"/>
      <c r="C168" s="57">
        <v>161</v>
      </c>
      <c r="D168" s="229" t="s">
        <v>496</v>
      </c>
      <c r="E168" s="230" t="s">
        <v>497</v>
      </c>
      <c r="F168" s="223" t="s">
        <v>498</v>
      </c>
      <c r="G168" s="231" t="s">
        <v>499</v>
      </c>
    </row>
    <row r="169" spans="1:7" s="4" customFormat="1" ht="38.25" x14ac:dyDescent="0.2">
      <c r="A169" s="419"/>
      <c r="C169" s="57">
        <v>162</v>
      </c>
      <c r="D169" s="229" t="s">
        <v>500</v>
      </c>
      <c r="E169" s="230" t="s">
        <v>501</v>
      </c>
      <c r="F169" s="223" t="s">
        <v>502</v>
      </c>
      <c r="G169" s="224" t="s">
        <v>503</v>
      </c>
    </row>
    <row r="170" spans="1:7" s="4" customFormat="1" ht="63.75" x14ac:dyDescent="0.2">
      <c r="A170" s="419"/>
      <c r="C170" s="57">
        <v>163</v>
      </c>
      <c r="D170" s="232" t="s">
        <v>504</v>
      </c>
      <c r="E170" s="230" t="s">
        <v>505</v>
      </c>
      <c r="F170" s="230" t="s">
        <v>506</v>
      </c>
      <c r="G170" s="224" t="s">
        <v>507</v>
      </c>
    </row>
    <row r="171" spans="1:7" s="4" customFormat="1" ht="38.25" x14ac:dyDescent="0.2">
      <c r="A171" s="419"/>
      <c r="C171" s="57">
        <v>164</v>
      </c>
      <c r="D171" s="229" t="s">
        <v>508</v>
      </c>
      <c r="E171" s="230" t="s">
        <v>509</v>
      </c>
      <c r="F171" s="230" t="s">
        <v>510</v>
      </c>
      <c r="G171" s="227" t="s">
        <v>511</v>
      </c>
    </row>
    <row r="172" spans="1:7" s="4" customFormat="1" ht="51" x14ac:dyDescent="0.2">
      <c r="A172" s="419"/>
      <c r="C172" s="57">
        <v>165</v>
      </c>
      <c r="D172" s="232" t="s">
        <v>512</v>
      </c>
      <c r="E172" s="230" t="s">
        <v>513</v>
      </c>
      <c r="F172" s="223" t="s">
        <v>514</v>
      </c>
      <c r="G172" s="233"/>
    </row>
    <row r="173" spans="1:7" s="4" customFormat="1" ht="51" x14ac:dyDescent="0.2">
      <c r="A173" s="419"/>
      <c r="C173" s="57">
        <v>166</v>
      </c>
      <c r="D173" s="229" t="s">
        <v>515</v>
      </c>
      <c r="E173" s="216"/>
      <c r="F173" s="178"/>
      <c r="G173" s="233"/>
    </row>
    <row r="174" spans="1:7" s="4" customFormat="1" ht="38.25" x14ac:dyDescent="0.2">
      <c r="A174" s="419"/>
      <c r="C174" s="57">
        <v>167</v>
      </c>
      <c r="D174" s="222" t="s">
        <v>516</v>
      </c>
      <c r="E174" s="216"/>
      <c r="F174" s="178"/>
      <c r="G174" s="233"/>
    </row>
    <row r="175" spans="1:7" s="4" customFormat="1" ht="25.5" x14ac:dyDescent="0.2">
      <c r="A175" s="419"/>
      <c r="C175" s="57">
        <v>168</v>
      </c>
      <c r="D175" s="222" t="s">
        <v>517</v>
      </c>
      <c r="E175" s="216"/>
      <c r="F175" s="178"/>
      <c r="G175" s="233"/>
    </row>
    <row r="176" spans="1:7" s="4" customFormat="1" ht="89.25" x14ac:dyDescent="0.2">
      <c r="A176" s="419"/>
      <c r="C176" s="57">
        <v>169</v>
      </c>
      <c r="D176" s="234" t="s">
        <v>518</v>
      </c>
      <c r="E176" s="235" t="s">
        <v>519</v>
      </c>
      <c r="F176" s="236" t="s">
        <v>520</v>
      </c>
      <c r="G176" s="237" t="s">
        <v>521</v>
      </c>
    </row>
    <row r="177" spans="1:13" ht="63.75" x14ac:dyDescent="0.2">
      <c r="A177" s="419"/>
      <c r="C177" s="57">
        <v>170</v>
      </c>
      <c r="D177" s="238" t="s">
        <v>522</v>
      </c>
      <c r="E177" s="239" t="s">
        <v>523</v>
      </c>
      <c r="F177" s="239" t="s">
        <v>524</v>
      </c>
      <c r="G177" s="240" t="s">
        <v>525</v>
      </c>
      <c r="H177" s="4"/>
      <c r="I177" s="4"/>
      <c r="J177" s="4"/>
      <c r="K177" s="4"/>
      <c r="L177" s="4"/>
      <c r="M177" s="4"/>
    </row>
    <row r="178" spans="1:13" ht="102" x14ac:dyDescent="0.2">
      <c r="A178" s="419"/>
      <c r="C178" s="57">
        <v>171</v>
      </c>
      <c r="D178" s="234" t="s">
        <v>526</v>
      </c>
      <c r="E178" s="241" t="s">
        <v>527</v>
      </c>
      <c r="F178" s="242"/>
      <c r="G178" s="243" t="s">
        <v>528</v>
      </c>
      <c r="H178" s="4"/>
      <c r="I178" s="4"/>
      <c r="J178" s="4"/>
      <c r="K178" s="4"/>
      <c r="L178" s="4"/>
      <c r="M178" s="4"/>
    </row>
    <row r="179" spans="1:13" ht="38.25" x14ac:dyDescent="0.2">
      <c r="A179" s="419"/>
      <c r="C179" s="57">
        <v>172</v>
      </c>
      <c r="D179" s="234" t="s">
        <v>529</v>
      </c>
      <c r="E179" s="244" t="s">
        <v>530</v>
      </c>
      <c r="F179" s="245"/>
      <c r="G179" s="246" t="s">
        <v>531</v>
      </c>
      <c r="H179" s="4"/>
      <c r="I179" s="4"/>
      <c r="J179" s="4"/>
      <c r="K179" s="4"/>
      <c r="L179" s="4"/>
      <c r="M179" s="4"/>
    </row>
    <row r="180" spans="1:13" ht="38.25" x14ac:dyDescent="0.2">
      <c r="A180" s="419"/>
      <c r="C180" s="57">
        <v>173</v>
      </c>
      <c r="D180" s="238" t="s">
        <v>532</v>
      </c>
      <c r="E180" s="247" t="s">
        <v>533</v>
      </c>
      <c r="F180" s="248"/>
      <c r="G180" s="249" t="s">
        <v>534</v>
      </c>
      <c r="H180" s="4"/>
      <c r="I180" s="4"/>
      <c r="J180" s="4"/>
      <c r="K180" s="4"/>
      <c r="L180" s="4"/>
      <c r="M180" s="4"/>
    </row>
    <row r="181" spans="1:13" ht="76.5" x14ac:dyDescent="0.2">
      <c r="A181" s="419"/>
      <c r="C181" s="57">
        <v>174</v>
      </c>
      <c r="D181" s="238" t="s">
        <v>535</v>
      </c>
      <c r="E181" s="244" t="s">
        <v>536</v>
      </c>
      <c r="F181" s="248"/>
      <c r="G181" s="250" t="s">
        <v>537</v>
      </c>
      <c r="H181" s="4"/>
      <c r="I181" s="4"/>
      <c r="J181" s="4"/>
      <c r="K181" s="4"/>
      <c r="L181" s="4"/>
      <c r="M181" s="4"/>
    </row>
    <row r="182" spans="1:13" ht="51.75" thickBot="1" x14ac:dyDescent="0.25">
      <c r="A182" s="420"/>
      <c r="C182" s="57">
        <v>175</v>
      </c>
      <c r="D182" s="251"/>
      <c r="E182" s="252" t="s">
        <v>538</v>
      </c>
      <c r="F182" s="253"/>
      <c r="G182" s="254"/>
      <c r="H182" s="4"/>
      <c r="I182" s="4"/>
      <c r="J182" s="4"/>
      <c r="K182" s="4"/>
      <c r="L182" s="4"/>
      <c r="M182" s="4"/>
    </row>
    <row r="183" spans="1:13" x14ac:dyDescent="0.2">
      <c r="C183" s="57">
        <v>176</v>
      </c>
      <c r="D183" s="255"/>
      <c r="E183" s="256"/>
      <c r="F183" s="257"/>
      <c r="G183" s="258"/>
      <c r="H183" s="4"/>
      <c r="I183" s="4"/>
      <c r="J183" s="4"/>
      <c r="K183" s="4"/>
      <c r="L183" s="4"/>
      <c r="M183" s="4"/>
    </row>
    <row r="184" spans="1:13" x14ac:dyDescent="0.2">
      <c r="C184" s="57">
        <v>177</v>
      </c>
      <c r="D184" s="259"/>
      <c r="E184" s="67"/>
      <c r="F184" s="86"/>
      <c r="G184" s="260"/>
      <c r="H184" s="4"/>
      <c r="I184" s="4"/>
      <c r="J184" s="4"/>
      <c r="K184" s="4"/>
      <c r="L184" s="4"/>
      <c r="M184" s="4"/>
    </row>
    <row r="185" spans="1:13" x14ac:dyDescent="0.2">
      <c r="C185" s="57">
        <v>178</v>
      </c>
      <c r="D185" s="259"/>
      <c r="E185" s="67"/>
      <c r="F185" s="86"/>
      <c r="G185" s="260"/>
      <c r="H185" s="4"/>
      <c r="I185" s="4"/>
      <c r="J185" s="4"/>
      <c r="K185" s="4"/>
      <c r="L185" s="4"/>
      <c r="M185" s="4"/>
    </row>
    <row r="186" spans="1:13" x14ac:dyDescent="0.2">
      <c r="C186" s="57">
        <v>179</v>
      </c>
      <c r="D186" s="259"/>
      <c r="E186" s="67"/>
      <c r="F186" s="86"/>
      <c r="G186" s="260"/>
      <c r="H186" s="4"/>
      <c r="I186" s="4"/>
      <c r="J186" s="4"/>
      <c r="K186" s="4"/>
      <c r="L186" s="4"/>
      <c r="M186" s="4"/>
    </row>
    <row r="187" spans="1:13" x14ac:dyDescent="0.2">
      <c r="C187" s="57">
        <v>180</v>
      </c>
      <c r="D187" s="259"/>
      <c r="E187" s="67"/>
      <c r="F187" s="86"/>
      <c r="G187" s="260"/>
      <c r="H187" s="4"/>
      <c r="I187" s="4"/>
      <c r="J187" s="4"/>
      <c r="K187" s="4"/>
      <c r="L187" s="4"/>
      <c r="M187" s="4"/>
    </row>
    <row r="188" spans="1:13" ht="20.25" hidden="1" customHeight="1" x14ac:dyDescent="0.2">
      <c r="C188" s="54">
        <v>11</v>
      </c>
      <c r="D188" s="259"/>
      <c r="E188" s="260"/>
      <c r="F188" s="86"/>
      <c r="G188" s="261"/>
      <c r="H188" s="4"/>
      <c r="I188" s="4"/>
      <c r="J188" s="4"/>
      <c r="K188" s="4"/>
      <c r="L188" s="4"/>
      <c r="M188" s="4"/>
    </row>
    <row r="189" spans="1:13" ht="20.25" hidden="1" customHeight="1" x14ac:dyDescent="0.2">
      <c r="C189" s="54">
        <v>12</v>
      </c>
      <c r="D189" s="259"/>
      <c r="E189" s="260"/>
      <c r="F189" s="86"/>
      <c r="G189" s="261"/>
      <c r="H189" s="4"/>
      <c r="I189" s="4"/>
      <c r="J189" s="4"/>
      <c r="K189" s="4"/>
      <c r="L189" s="4"/>
      <c r="M189" s="4"/>
    </row>
    <row r="190" spans="1:13" ht="20.25" hidden="1" customHeight="1" x14ac:dyDescent="0.2">
      <c r="C190" s="54">
        <v>13</v>
      </c>
      <c r="D190" s="259"/>
      <c r="E190" s="260"/>
      <c r="F190" s="86"/>
      <c r="G190" s="261"/>
      <c r="H190" s="4"/>
      <c r="I190" s="4"/>
      <c r="J190" s="4"/>
      <c r="K190" s="4"/>
      <c r="L190" s="4"/>
      <c r="M190" s="4"/>
    </row>
    <row r="191" spans="1:13" ht="20.25" hidden="1" customHeight="1" x14ac:dyDescent="0.2">
      <c r="C191" s="54">
        <v>14</v>
      </c>
      <c r="D191" s="262"/>
      <c r="E191" s="260"/>
      <c r="F191" s="86"/>
      <c r="G191" s="261"/>
      <c r="H191" s="4"/>
      <c r="I191" s="4"/>
      <c r="J191" s="4"/>
      <c r="K191" s="4"/>
      <c r="L191" s="4"/>
      <c r="M191" s="4"/>
    </row>
    <row r="192" spans="1:13" ht="21.75" hidden="1" customHeight="1" x14ac:dyDescent="0.2">
      <c r="C192" s="54">
        <v>15</v>
      </c>
      <c r="D192" s="262"/>
      <c r="E192" s="260"/>
      <c r="F192" s="86"/>
      <c r="G192" s="261"/>
      <c r="H192" s="4"/>
      <c r="I192" s="4"/>
      <c r="J192" s="4"/>
      <c r="K192" s="4"/>
      <c r="L192" s="4"/>
      <c r="M192" s="4"/>
    </row>
    <row r="193" spans="1:13" ht="15" hidden="1" customHeight="1" x14ac:dyDescent="0.2">
      <c r="E193" s="263" t="s">
        <v>539</v>
      </c>
      <c r="F193" s="264" t="s">
        <v>540</v>
      </c>
    </row>
    <row r="194" spans="1:13" ht="15" hidden="1" customHeight="1" x14ac:dyDescent="0.2">
      <c r="E194" s="265" t="e">
        <f>SUM(#REF!,#REF!)</f>
        <v>#REF!</v>
      </c>
      <c r="F194" s="266" t="e">
        <f>SUM(#REF!,#REF!)</f>
        <v>#REF!</v>
      </c>
    </row>
    <row r="195" spans="1:13" hidden="1" x14ac:dyDescent="0.2">
      <c r="E195" s="267"/>
    </row>
    <row r="196" spans="1:13" s="50" customFormat="1" ht="11.25" customHeight="1" x14ac:dyDescent="0.2">
      <c r="E196" s="268"/>
      <c r="G196" s="269"/>
    </row>
    <row r="197" spans="1:13" s="50" customFormat="1" ht="20.25" customHeight="1" x14ac:dyDescent="0.2">
      <c r="E197" s="270"/>
      <c r="G197" s="269"/>
    </row>
    <row r="198" spans="1:13" s="3" customFormat="1" ht="20.25" customHeight="1" x14ac:dyDescent="0.25">
      <c r="A198" s="495" t="s">
        <v>6</v>
      </c>
      <c r="B198" s="491" t="s">
        <v>541</v>
      </c>
      <c r="C198" s="491"/>
      <c r="D198" s="491"/>
      <c r="E198" s="271" t="s">
        <v>541</v>
      </c>
      <c r="F198" s="272" t="s">
        <v>541</v>
      </c>
      <c r="G198" s="273" t="s">
        <v>541</v>
      </c>
      <c r="H198" s="274"/>
      <c r="I198" s="274"/>
      <c r="J198" s="274"/>
      <c r="K198" s="274"/>
      <c r="L198" s="274"/>
      <c r="M198" s="274"/>
    </row>
    <row r="199" spans="1:13" ht="48.75" customHeight="1" thickBot="1" x14ac:dyDescent="0.25">
      <c r="A199" s="496"/>
      <c r="B199" s="275"/>
      <c r="C199" s="492" t="s">
        <v>542</v>
      </c>
      <c r="D199" s="493"/>
      <c r="E199" s="276" t="s">
        <v>543</v>
      </c>
      <c r="F199" s="277" t="s">
        <v>544</v>
      </c>
      <c r="G199" s="56" t="s">
        <v>545</v>
      </c>
    </row>
    <row r="200" spans="1:13" ht="51" x14ac:dyDescent="0.2">
      <c r="A200" s="480" t="s">
        <v>14</v>
      </c>
      <c r="B200" s="483" t="s">
        <v>546</v>
      </c>
      <c r="C200" s="484"/>
      <c r="D200" s="484"/>
      <c r="E200" s="278" t="s">
        <v>547</v>
      </c>
      <c r="F200" s="279" t="s">
        <v>548</v>
      </c>
      <c r="G200" s="103"/>
    </row>
    <row r="201" spans="1:13" ht="57" customHeight="1" x14ac:dyDescent="0.2">
      <c r="A201" s="481"/>
      <c r="B201" s="485" t="s">
        <v>549</v>
      </c>
      <c r="C201" s="486"/>
      <c r="D201" s="486"/>
      <c r="E201" s="281" t="s">
        <v>550</v>
      </c>
      <c r="F201" s="280" t="s">
        <v>551</v>
      </c>
      <c r="G201" s="282"/>
    </row>
    <row r="202" spans="1:13" ht="54" customHeight="1" x14ac:dyDescent="0.2">
      <c r="A202" s="481"/>
      <c r="B202" s="487" t="s">
        <v>552</v>
      </c>
      <c r="C202" s="488"/>
      <c r="D202" s="488"/>
      <c r="E202" s="283"/>
      <c r="F202" s="280"/>
      <c r="G202" s="282"/>
    </row>
    <row r="203" spans="1:13" ht="58.5" customHeight="1" x14ac:dyDescent="0.2">
      <c r="A203" s="481"/>
      <c r="B203" s="485" t="s">
        <v>553</v>
      </c>
      <c r="C203" s="486"/>
      <c r="D203" s="486"/>
      <c r="E203" s="283"/>
      <c r="F203" s="280"/>
      <c r="G203" s="282"/>
    </row>
    <row r="204" spans="1:13" ht="29.25" customHeight="1" thickBot="1" x14ac:dyDescent="0.25">
      <c r="A204" s="482"/>
      <c r="B204" s="489" t="s">
        <v>554</v>
      </c>
      <c r="C204" s="490"/>
      <c r="D204" s="490"/>
      <c r="E204" s="284"/>
      <c r="F204" s="285"/>
      <c r="G204" s="286"/>
    </row>
    <row r="205" spans="1:13" ht="38.25" customHeight="1" x14ac:dyDescent="0.2">
      <c r="A205" s="472" t="s">
        <v>555</v>
      </c>
      <c r="B205" s="426" t="s">
        <v>556</v>
      </c>
      <c r="C205" s="427"/>
      <c r="D205" s="427"/>
      <c r="E205" s="93" t="s">
        <v>557</v>
      </c>
      <c r="F205" s="77" t="s">
        <v>558</v>
      </c>
      <c r="G205" s="287"/>
    </row>
    <row r="206" spans="1:13" ht="38.25" customHeight="1" x14ac:dyDescent="0.2">
      <c r="A206" s="473"/>
      <c r="B206" s="475" t="s">
        <v>559</v>
      </c>
      <c r="C206" s="476"/>
      <c r="D206" s="476"/>
      <c r="E206" s="96" t="s">
        <v>560</v>
      </c>
      <c r="F206" s="67" t="s">
        <v>561</v>
      </c>
      <c r="G206" s="282"/>
    </row>
    <row r="207" spans="1:13" ht="38.25" customHeight="1" thickBot="1" x14ac:dyDescent="0.25">
      <c r="A207" s="474"/>
      <c r="B207" s="477"/>
      <c r="C207" s="478"/>
      <c r="D207" s="479"/>
      <c r="E207" s="288" t="s">
        <v>562</v>
      </c>
      <c r="F207" s="73" t="s">
        <v>563</v>
      </c>
      <c r="G207" s="286"/>
    </row>
    <row r="208" spans="1:13" ht="58.5" customHeight="1" x14ac:dyDescent="0.2">
      <c r="A208" s="418" t="s">
        <v>72</v>
      </c>
      <c r="B208" s="426" t="s">
        <v>564</v>
      </c>
      <c r="C208" s="427"/>
      <c r="D208" s="427"/>
      <c r="E208" s="278" t="s">
        <v>565</v>
      </c>
      <c r="F208" s="93" t="s">
        <v>566</v>
      </c>
      <c r="G208" s="103" t="s">
        <v>567</v>
      </c>
    </row>
    <row r="209" spans="1:7" ht="67.5" customHeight="1" x14ac:dyDescent="0.2">
      <c r="A209" s="419"/>
      <c r="B209" s="430" t="s">
        <v>568</v>
      </c>
      <c r="C209" s="431"/>
      <c r="D209" s="431"/>
      <c r="E209" s="283" t="s">
        <v>569</v>
      </c>
      <c r="F209" s="96" t="s">
        <v>570</v>
      </c>
      <c r="G209" s="289" t="s">
        <v>571</v>
      </c>
    </row>
    <row r="210" spans="1:7" ht="66.75" customHeight="1" x14ac:dyDescent="0.2">
      <c r="A210" s="419"/>
      <c r="B210" s="430" t="s">
        <v>572</v>
      </c>
      <c r="C210" s="431"/>
      <c r="D210" s="431"/>
      <c r="E210" s="283" t="s">
        <v>573</v>
      </c>
      <c r="F210" s="96" t="s">
        <v>574</v>
      </c>
      <c r="G210" s="98" t="s">
        <v>575</v>
      </c>
    </row>
    <row r="211" spans="1:7" ht="61.5" customHeight="1" thickBot="1" x14ac:dyDescent="0.25">
      <c r="A211" s="420"/>
      <c r="B211" s="444" t="s">
        <v>576</v>
      </c>
      <c r="C211" s="445"/>
      <c r="D211" s="445"/>
      <c r="E211" s="284" t="s">
        <v>577</v>
      </c>
      <c r="F211" s="109" t="s">
        <v>578</v>
      </c>
      <c r="G211" s="110"/>
    </row>
    <row r="212" spans="1:7" ht="60.75" customHeight="1" thickBot="1" x14ac:dyDescent="0.25">
      <c r="A212" s="290" t="s">
        <v>579</v>
      </c>
      <c r="B212" s="461" t="s">
        <v>580</v>
      </c>
      <c r="C212" s="462"/>
      <c r="D212" s="462"/>
      <c r="E212" s="292" t="s">
        <v>581</v>
      </c>
      <c r="F212" s="291" t="s">
        <v>582</v>
      </c>
      <c r="G212" s="293" t="s">
        <v>583</v>
      </c>
    </row>
    <row r="213" spans="1:7" ht="34.5" customHeight="1" x14ac:dyDescent="0.2">
      <c r="A213" s="418" t="s">
        <v>124</v>
      </c>
      <c r="B213" s="463" t="s">
        <v>584</v>
      </c>
      <c r="C213" s="464"/>
      <c r="D213" s="465"/>
      <c r="E213" s="294" t="s">
        <v>585</v>
      </c>
      <c r="F213" s="93" t="s">
        <v>586</v>
      </c>
      <c r="G213" s="295" t="s">
        <v>587</v>
      </c>
    </row>
    <row r="214" spans="1:7" ht="30" customHeight="1" x14ac:dyDescent="0.2">
      <c r="A214" s="419"/>
      <c r="B214" s="466" t="s">
        <v>588</v>
      </c>
      <c r="C214" s="467"/>
      <c r="D214" s="468"/>
      <c r="E214" s="283" t="s">
        <v>589</v>
      </c>
      <c r="F214" s="115" t="s">
        <v>590</v>
      </c>
      <c r="G214" s="282"/>
    </row>
    <row r="215" spans="1:7" ht="26.25" customHeight="1" x14ac:dyDescent="0.2">
      <c r="A215" s="419"/>
      <c r="B215" s="466" t="s">
        <v>591</v>
      </c>
      <c r="C215" s="467"/>
      <c r="D215" s="468"/>
      <c r="E215" s="296"/>
      <c r="F215" s="297"/>
      <c r="G215" s="282"/>
    </row>
    <row r="216" spans="1:7" ht="26.25" customHeight="1" thickBot="1" x14ac:dyDescent="0.25">
      <c r="A216" s="420"/>
      <c r="B216" s="469" t="s">
        <v>592</v>
      </c>
      <c r="C216" s="470"/>
      <c r="D216" s="471"/>
      <c r="E216" s="298"/>
      <c r="F216" s="299"/>
      <c r="G216" s="286"/>
    </row>
    <row r="217" spans="1:7" ht="40.5" customHeight="1" x14ac:dyDescent="0.2">
      <c r="A217" s="418" t="s">
        <v>148</v>
      </c>
      <c r="B217" s="426" t="s">
        <v>593</v>
      </c>
      <c r="C217" s="427"/>
      <c r="D217" s="427"/>
      <c r="E217" s="300" t="s">
        <v>594</v>
      </c>
      <c r="F217" s="301" t="s">
        <v>595</v>
      </c>
      <c r="G217" s="103"/>
    </row>
    <row r="218" spans="1:7" ht="35.25" customHeight="1" x14ac:dyDescent="0.2">
      <c r="A218" s="419"/>
      <c r="B218" s="430"/>
      <c r="C218" s="431"/>
      <c r="D218" s="431"/>
      <c r="E218" s="283" t="s">
        <v>596</v>
      </c>
      <c r="F218" s="302" t="s">
        <v>597</v>
      </c>
      <c r="G218" s="98"/>
    </row>
    <row r="219" spans="1:7" ht="35.25" customHeight="1" x14ac:dyDescent="0.2">
      <c r="A219" s="419"/>
      <c r="B219" s="430"/>
      <c r="C219" s="431"/>
      <c r="D219" s="431"/>
      <c r="E219" s="283"/>
      <c r="F219" s="96" t="s">
        <v>598</v>
      </c>
      <c r="G219" s="98"/>
    </row>
    <row r="220" spans="1:7" ht="45.75" customHeight="1" thickBot="1" x14ac:dyDescent="0.25">
      <c r="A220" s="420"/>
      <c r="B220" s="444"/>
      <c r="C220" s="445"/>
      <c r="D220" s="445"/>
      <c r="E220" s="284"/>
      <c r="F220" s="303" t="s">
        <v>599</v>
      </c>
      <c r="G220" s="110"/>
    </row>
    <row r="221" spans="1:7" ht="66" customHeight="1" x14ac:dyDescent="0.2">
      <c r="A221" s="418" t="s">
        <v>173</v>
      </c>
      <c r="B221" s="455" t="s">
        <v>600</v>
      </c>
      <c r="C221" s="456"/>
      <c r="D221" s="456"/>
      <c r="E221" s="92" t="s">
        <v>601</v>
      </c>
      <c r="F221" s="92" t="s">
        <v>602</v>
      </c>
      <c r="G221" s="94" t="s">
        <v>603</v>
      </c>
    </row>
    <row r="222" spans="1:7" ht="48" customHeight="1" x14ac:dyDescent="0.2">
      <c r="A222" s="419"/>
      <c r="B222" s="457" t="s">
        <v>604</v>
      </c>
      <c r="C222" s="458"/>
      <c r="D222" s="458"/>
      <c r="E222" s="67" t="s">
        <v>605</v>
      </c>
      <c r="F222" s="67" t="s">
        <v>606</v>
      </c>
      <c r="G222" s="81" t="s">
        <v>607</v>
      </c>
    </row>
    <row r="223" spans="1:7" ht="51.75" customHeight="1" x14ac:dyDescent="0.2">
      <c r="A223" s="419"/>
      <c r="B223" s="457" t="s">
        <v>608</v>
      </c>
      <c r="C223" s="458"/>
      <c r="D223" s="458"/>
      <c r="E223" s="67" t="s">
        <v>609</v>
      </c>
      <c r="F223" s="262"/>
      <c r="G223" s="81" t="s">
        <v>610</v>
      </c>
    </row>
    <row r="224" spans="1:7" ht="53.25" customHeight="1" thickBot="1" x14ac:dyDescent="0.25">
      <c r="A224" s="420"/>
      <c r="B224" s="459"/>
      <c r="C224" s="460"/>
      <c r="D224" s="460"/>
      <c r="E224" s="73"/>
      <c r="F224" s="73"/>
      <c r="G224" s="172" t="s">
        <v>611</v>
      </c>
    </row>
    <row r="225" spans="1:7" ht="36.75" customHeight="1" x14ac:dyDescent="0.2">
      <c r="A225" s="440" t="s">
        <v>199</v>
      </c>
      <c r="B225" s="446" t="s">
        <v>612</v>
      </c>
      <c r="C225" s="447"/>
      <c r="D225" s="448"/>
      <c r="E225" s="304" t="s">
        <v>613</v>
      </c>
      <c r="F225" s="140" t="s">
        <v>614</v>
      </c>
      <c r="G225" s="141" t="s">
        <v>615</v>
      </c>
    </row>
    <row r="226" spans="1:7" ht="42.75" customHeight="1" thickBot="1" x14ac:dyDescent="0.25">
      <c r="A226" s="441"/>
      <c r="B226" s="449" t="s">
        <v>616</v>
      </c>
      <c r="C226" s="450"/>
      <c r="D226" s="451"/>
      <c r="E226" s="305" t="s">
        <v>617</v>
      </c>
      <c r="F226" s="306" t="s">
        <v>618</v>
      </c>
      <c r="G226" s="307"/>
    </row>
    <row r="227" spans="1:7" ht="67.5" customHeight="1" x14ac:dyDescent="0.2">
      <c r="A227" s="418" t="s">
        <v>259</v>
      </c>
      <c r="B227" s="426" t="s">
        <v>619</v>
      </c>
      <c r="C227" s="427"/>
      <c r="D227" s="427"/>
      <c r="E227" s="308" t="s">
        <v>620</v>
      </c>
      <c r="F227" s="309" t="s">
        <v>621</v>
      </c>
      <c r="G227" s="310" t="s">
        <v>622</v>
      </c>
    </row>
    <row r="228" spans="1:7" ht="62.25" customHeight="1" x14ac:dyDescent="0.2">
      <c r="A228" s="419"/>
      <c r="B228" s="452" t="s">
        <v>623</v>
      </c>
      <c r="C228" s="453"/>
      <c r="D228" s="453"/>
      <c r="E228" s="65" t="s">
        <v>624</v>
      </c>
      <c r="F228" s="65" t="s">
        <v>625</v>
      </c>
      <c r="G228" s="68" t="s">
        <v>626</v>
      </c>
    </row>
    <row r="229" spans="1:7" ht="47.25" customHeight="1" thickBot="1" x14ac:dyDescent="0.25">
      <c r="A229" s="420"/>
      <c r="B229" s="454"/>
      <c r="C229" s="445"/>
      <c r="D229" s="445"/>
      <c r="E229" s="299"/>
      <c r="F229" s="74" t="s">
        <v>627</v>
      </c>
      <c r="G229" s="286"/>
    </row>
    <row r="230" spans="1:7" ht="50.25" customHeight="1" x14ac:dyDescent="0.2">
      <c r="A230" s="440" t="s">
        <v>314</v>
      </c>
      <c r="B230" s="426" t="s">
        <v>628</v>
      </c>
      <c r="C230" s="427"/>
      <c r="D230" s="427"/>
      <c r="E230" s="278" t="s">
        <v>629</v>
      </c>
      <c r="F230" s="93" t="s">
        <v>630</v>
      </c>
      <c r="G230" s="103" t="s">
        <v>631</v>
      </c>
    </row>
    <row r="231" spans="1:7" ht="50.25" customHeight="1" thickBot="1" x14ac:dyDescent="0.25">
      <c r="A231" s="441"/>
      <c r="B231" s="442"/>
      <c r="C231" s="443"/>
      <c r="D231" s="443"/>
      <c r="E231" s="284"/>
      <c r="F231" s="109" t="s">
        <v>632</v>
      </c>
      <c r="G231" s="110"/>
    </row>
    <row r="232" spans="1:7" ht="38.25" customHeight="1" x14ac:dyDescent="0.2">
      <c r="A232" s="418" t="s">
        <v>370</v>
      </c>
      <c r="B232" s="426" t="s">
        <v>633</v>
      </c>
      <c r="C232" s="427"/>
      <c r="D232" s="427"/>
      <c r="E232" s="278" t="s">
        <v>634</v>
      </c>
      <c r="F232" s="311" t="s">
        <v>635</v>
      </c>
      <c r="G232" s="103" t="s">
        <v>636</v>
      </c>
    </row>
    <row r="233" spans="1:7" ht="38.25" customHeight="1" x14ac:dyDescent="0.2">
      <c r="A233" s="419"/>
      <c r="B233" s="430" t="s">
        <v>637</v>
      </c>
      <c r="C233" s="431"/>
      <c r="D233" s="431"/>
      <c r="E233" s="312" t="s">
        <v>638</v>
      </c>
      <c r="F233" s="96" t="s">
        <v>639</v>
      </c>
      <c r="G233" s="98" t="s">
        <v>640</v>
      </c>
    </row>
    <row r="234" spans="1:7" ht="38.25" customHeight="1" x14ac:dyDescent="0.2">
      <c r="A234" s="419"/>
      <c r="B234" s="430" t="s">
        <v>641</v>
      </c>
      <c r="C234" s="431"/>
      <c r="D234" s="431"/>
      <c r="E234" s="283"/>
      <c r="F234" s="190" t="s">
        <v>642</v>
      </c>
      <c r="G234" s="98"/>
    </row>
    <row r="235" spans="1:7" ht="38.25" customHeight="1" x14ac:dyDescent="0.2">
      <c r="A235" s="419"/>
      <c r="B235" s="430" t="s">
        <v>643</v>
      </c>
      <c r="C235" s="431"/>
      <c r="D235" s="431"/>
      <c r="E235" s="283"/>
      <c r="F235" s="96"/>
      <c r="G235" s="98"/>
    </row>
    <row r="236" spans="1:7" ht="38.25" customHeight="1" thickBot="1" x14ac:dyDescent="0.25">
      <c r="A236" s="420"/>
      <c r="B236" s="444" t="s">
        <v>644</v>
      </c>
      <c r="C236" s="445"/>
      <c r="D236" s="445"/>
      <c r="E236" s="284"/>
      <c r="F236" s="109"/>
      <c r="G236" s="110"/>
    </row>
    <row r="237" spans="1:7" ht="61.5" customHeight="1" x14ac:dyDescent="0.2">
      <c r="A237" s="418" t="s">
        <v>645</v>
      </c>
      <c r="B237" s="426" t="s">
        <v>646</v>
      </c>
      <c r="C237" s="427"/>
      <c r="D237" s="427"/>
      <c r="E237" s="93" t="s">
        <v>647</v>
      </c>
      <c r="F237" s="93" t="s">
        <v>648</v>
      </c>
      <c r="G237" s="103" t="s">
        <v>649</v>
      </c>
    </row>
    <row r="238" spans="1:7" ht="51.75" customHeight="1" x14ac:dyDescent="0.2">
      <c r="A238" s="419"/>
      <c r="B238" s="428" t="s">
        <v>650</v>
      </c>
      <c r="C238" s="429"/>
      <c r="D238" s="429"/>
      <c r="E238" s="96" t="s">
        <v>651</v>
      </c>
      <c r="F238" s="96" t="s">
        <v>652</v>
      </c>
      <c r="G238" s="313"/>
    </row>
    <row r="239" spans="1:7" ht="61.5" customHeight="1" x14ac:dyDescent="0.2">
      <c r="A239" s="419"/>
      <c r="B239" s="430" t="s">
        <v>653</v>
      </c>
      <c r="C239" s="431"/>
      <c r="D239" s="431"/>
      <c r="E239" s="203" t="s">
        <v>654</v>
      </c>
      <c r="F239" s="96" t="s">
        <v>655</v>
      </c>
      <c r="G239" s="98" t="s">
        <v>656</v>
      </c>
    </row>
    <row r="240" spans="1:7" ht="51.75" customHeight="1" thickBot="1" x14ac:dyDescent="0.25">
      <c r="A240" s="420"/>
      <c r="B240" s="432"/>
      <c r="C240" s="433"/>
      <c r="D240" s="433"/>
      <c r="E240" s="314"/>
      <c r="F240" s="315" t="s">
        <v>657</v>
      </c>
      <c r="G240" s="316" t="s">
        <v>658</v>
      </c>
    </row>
    <row r="241" spans="1:7" ht="33.75" customHeight="1" x14ac:dyDescent="0.2">
      <c r="A241" s="418" t="s">
        <v>438</v>
      </c>
      <c r="B241" s="434" t="s">
        <v>659</v>
      </c>
      <c r="C241" s="435"/>
      <c r="D241" s="435"/>
      <c r="E241" s="317" t="s">
        <v>660</v>
      </c>
      <c r="F241" s="318" t="s">
        <v>661</v>
      </c>
      <c r="G241" s="319" t="s">
        <v>662</v>
      </c>
    </row>
    <row r="242" spans="1:7" ht="43.5" customHeight="1" x14ac:dyDescent="0.2">
      <c r="A242" s="419"/>
      <c r="B242" s="436" t="s">
        <v>663</v>
      </c>
      <c r="C242" s="437"/>
      <c r="D242" s="437"/>
      <c r="E242" s="320" t="s">
        <v>664</v>
      </c>
      <c r="F242" s="321" t="s">
        <v>665</v>
      </c>
      <c r="G242" s="322" t="s">
        <v>666</v>
      </c>
    </row>
    <row r="243" spans="1:7" ht="33.75" customHeight="1" x14ac:dyDescent="0.2">
      <c r="A243" s="419"/>
      <c r="B243" s="436" t="s">
        <v>667</v>
      </c>
      <c r="C243" s="437"/>
      <c r="D243" s="437"/>
      <c r="E243" s="321" t="s">
        <v>668</v>
      </c>
      <c r="F243" s="321"/>
      <c r="G243" s="323"/>
    </row>
    <row r="244" spans="1:7" ht="33.75" customHeight="1" thickBot="1" x14ac:dyDescent="0.25">
      <c r="A244" s="420"/>
      <c r="B244" s="438" t="s">
        <v>669</v>
      </c>
      <c r="C244" s="439"/>
      <c r="D244" s="439"/>
      <c r="E244" s="325"/>
      <c r="F244" s="324"/>
      <c r="G244" s="326"/>
    </row>
    <row r="245" spans="1:7" ht="45.75" customHeight="1" x14ac:dyDescent="0.2">
      <c r="A245" s="418" t="s">
        <v>459</v>
      </c>
      <c r="B245" s="421" t="s">
        <v>670</v>
      </c>
      <c r="C245" s="422"/>
      <c r="D245" s="422"/>
      <c r="E245" s="327" t="s">
        <v>671</v>
      </c>
      <c r="F245" s="327" t="s">
        <v>672</v>
      </c>
      <c r="G245" s="221" t="s">
        <v>673</v>
      </c>
    </row>
    <row r="246" spans="1:7" ht="54.75" customHeight="1" x14ac:dyDescent="0.2">
      <c r="A246" s="419"/>
      <c r="B246" s="423" t="s">
        <v>674</v>
      </c>
      <c r="C246" s="424"/>
      <c r="D246" s="424"/>
      <c r="E246" s="178" t="s">
        <v>675</v>
      </c>
      <c r="F246" s="178" t="s">
        <v>676</v>
      </c>
      <c r="G246" s="226" t="s">
        <v>677</v>
      </c>
    </row>
    <row r="247" spans="1:7" ht="45.75" customHeight="1" x14ac:dyDescent="0.2">
      <c r="A247" s="419"/>
      <c r="B247" s="423" t="s">
        <v>678</v>
      </c>
      <c r="C247" s="424"/>
      <c r="D247" s="424"/>
      <c r="E247" s="178" t="s">
        <v>679</v>
      </c>
      <c r="F247" s="178" t="s">
        <v>680</v>
      </c>
      <c r="G247" s="226"/>
    </row>
    <row r="248" spans="1:7" ht="45.75" customHeight="1" x14ac:dyDescent="0.2">
      <c r="A248" s="419"/>
      <c r="B248" s="423"/>
      <c r="C248" s="424"/>
      <c r="D248" s="424"/>
      <c r="E248" s="178"/>
      <c r="F248" s="178" t="s">
        <v>681</v>
      </c>
      <c r="G248" s="226"/>
    </row>
    <row r="249" spans="1:7" ht="46.5" customHeight="1" x14ac:dyDescent="0.2">
      <c r="A249" s="419"/>
      <c r="B249" s="423" t="s">
        <v>682</v>
      </c>
      <c r="C249" s="424"/>
      <c r="D249" s="424"/>
      <c r="E249" s="328" t="s">
        <v>683</v>
      </c>
      <c r="F249" s="178" t="s">
        <v>684</v>
      </c>
      <c r="G249" s="226" t="s">
        <v>685</v>
      </c>
    </row>
    <row r="250" spans="1:7" ht="40.5" customHeight="1" x14ac:dyDescent="0.2">
      <c r="A250" s="419"/>
      <c r="B250" s="423" t="s">
        <v>686</v>
      </c>
      <c r="C250" s="424"/>
      <c r="D250" s="424"/>
      <c r="E250" s="328" t="s">
        <v>687</v>
      </c>
      <c r="F250" s="178"/>
      <c r="G250" s="226" t="s">
        <v>688</v>
      </c>
    </row>
    <row r="251" spans="1:7" ht="25.5" x14ac:dyDescent="0.2">
      <c r="A251" s="419"/>
      <c r="B251" s="423" t="s">
        <v>689</v>
      </c>
      <c r="C251" s="424"/>
      <c r="D251" s="424"/>
      <c r="E251" s="328"/>
      <c r="F251" s="178"/>
      <c r="G251" s="226" t="s">
        <v>690</v>
      </c>
    </row>
    <row r="252" spans="1:7" ht="51" x14ac:dyDescent="0.2">
      <c r="A252" s="419"/>
      <c r="B252" s="425" t="s">
        <v>691</v>
      </c>
      <c r="C252" s="413"/>
      <c r="D252" s="414"/>
      <c r="E252" s="329" t="s">
        <v>692</v>
      </c>
      <c r="F252" s="330" t="s">
        <v>693</v>
      </c>
      <c r="G252" s="331" t="s">
        <v>694</v>
      </c>
    </row>
    <row r="253" spans="1:7" ht="25.5" x14ac:dyDescent="0.2">
      <c r="A253" s="419"/>
      <c r="B253" s="412"/>
      <c r="C253" s="413"/>
      <c r="D253" s="414"/>
      <c r="E253" s="329" t="s">
        <v>695</v>
      </c>
      <c r="F253" s="330"/>
      <c r="G253" s="331"/>
    </row>
    <row r="254" spans="1:7" ht="38.25" x14ac:dyDescent="0.2">
      <c r="A254" s="419"/>
      <c r="B254" s="412"/>
      <c r="C254" s="413"/>
      <c r="D254" s="414"/>
      <c r="E254" s="329" t="s">
        <v>696</v>
      </c>
      <c r="F254" s="330"/>
      <c r="G254" s="331"/>
    </row>
    <row r="255" spans="1:7" ht="28.5" customHeight="1" x14ac:dyDescent="0.2">
      <c r="A255" s="419"/>
      <c r="B255" s="412"/>
      <c r="C255" s="413"/>
      <c r="D255" s="414"/>
      <c r="E255" s="329" t="s">
        <v>697</v>
      </c>
      <c r="F255" s="330"/>
      <c r="G255" s="331"/>
    </row>
    <row r="256" spans="1:7" ht="39" thickBot="1" x14ac:dyDescent="0.25">
      <c r="A256" s="420"/>
      <c r="B256" s="415"/>
      <c r="C256" s="416"/>
      <c r="D256" s="417"/>
      <c r="E256" s="332" t="s">
        <v>698</v>
      </c>
      <c r="F256" s="333"/>
      <c r="G256" s="334"/>
    </row>
    <row r="257" spans="5:7" s="50" customFormat="1" x14ac:dyDescent="0.2">
      <c r="E257" s="274"/>
      <c r="G257" s="274"/>
    </row>
    <row r="258" spans="5:7" s="50" customFormat="1" x14ac:dyDescent="0.2">
      <c r="E258" s="274"/>
      <c r="G258" s="274"/>
    </row>
    <row r="259" spans="5:7" s="50" customFormat="1" x14ac:dyDescent="0.2">
      <c r="E259" s="274"/>
      <c r="G259" s="274"/>
    </row>
    <row r="260" spans="5:7" s="50" customFormat="1" x14ac:dyDescent="0.2">
      <c r="E260" s="274"/>
      <c r="G260" s="274"/>
    </row>
    <row r="261" spans="5:7" s="50" customFormat="1" x14ac:dyDescent="0.2">
      <c r="E261" s="274"/>
      <c r="G261" s="274"/>
    </row>
    <row r="262" spans="5:7" s="50" customFormat="1" x14ac:dyDescent="0.2">
      <c r="E262" s="274"/>
      <c r="G262" s="274"/>
    </row>
    <row r="263" spans="5:7" s="50" customFormat="1" x14ac:dyDescent="0.2">
      <c r="E263" s="274"/>
      <c r="G263" s="274"/>
    </row>
    <row r="264" spans="5:7" s="50" customFormat="1" x14ac:dyDescent="0.2">
      <c r="E264" s="274"/>
      <c r="G264" s="274"/>
    </row>
    <row r="265" spans="5:7" s="50" customFormat="1" x14ac:dyDescent="0.2">
      <c r="E265" s="274"/>
      <c r="G265" s="274"/>
    </row>
    <row r="266" spans="5:7" s="50" customFormat="1" x14ac:dyDescent="0.2">
      <c r="E266" s="274"/>
      <c r="G266" s="274"/>
    </row>
    <row r="267" spans="5:7" s="50" customFormat="1" x14ac:dyDescent="0.2">
      <c r="E267" s="274"/>
      <c r="G267" s="274"/>
    </row>
    <row r="268" spans="5:7" s="50" customFormat="1" x14ac:dyDescent="0.2">
      <c r="E268" s="274"/>
      <c r="G268" s="274"/>
    </row>
    <row r="269" spans="5:7" s="50" customFormat="1" x14ac:dyDescent="0.2">
      <c r="E269" s="274"/>
      <c r="G269" s="274"/>
    </row>
    <row r="270" spans="5:7" s="50" customFormat="1" x14ac:dyDescent="0.2">
      <c r="E270" s="274"/>
      <c r="G270" s="274"/>
    </row>
    <row r="271" spans="5:7" s="50" customFormat="1" x14ac:dyDescent="0.2">
      <c r="E271" s="274"/>
      <c r="G271" s="274"/>
    </row>
    <row r="272" spans="5:7" s="50" customFormat="1" x14ac:dyDescent="0.2">
      <c r="E272" s="274"/>
      <c r="G272" s="274"/>
    </row>
    <row r="273" spans="5:7" s="50" customFormat="1" x14ac:dyDescent="0.2">
      <c r="E273" s="274"/>
      <c r="G273" s="274"/>
    </row>
    <row r="274" spans="5:7" s="50" customFormat="1" x14ac:dyDescent="0.2">
      <c r="E274" s="274"/>
      <c r="G274" s="274"/>
    </row>
    <row r="275" spans="5:7" s="50" customFormat="1" x14ac:dyDescent="0.2">
      <c r="E275" s="274"/>
      <c r="G275" s="274"/>
    </row>
    <row r="276" spans="5:7" s="50" customFormat="1" x14ac:dyDescent="0.2">
      <c r="E276" s="274"/>
      <c r="G276" s="274"/>
    </row>
    <row r="277" spans="5:7" s="50" customFormat="1" x14ac:dyDescent="0.2">
      <c r="E277" s="274"/>
      <c r="G277" s="274"/>
    </row>
    <row r="278" spans="5:7" s="50" customFormat="1" x14ac:dyDescent="0.2">
      <c r="E278" s="274"/>
      <c r="G278" s="274"/>
    </row>
    <row r="279" spans="5:7" s="50" customFormat="1" x14ac:dyDescent="0.2">
      <c r="E279" s="274"/>
      <c r="G279" s="274"/>
    </row>
    <row r="280" spans="5:7" s="50" customFormat="1" x14ac:dyDescent="0.2">
      <c r="E280" s="274"/>
      <c r="G280" s="274"/>
    </row>
    <row r="281" spans="5:7" s="50" customFormat="1" x14ac:dyDescent="0.2">
      <c r="E281" s="274"/>
      <c r="G281" s="274"/>
    </row>
    <row r="282" spans="5:7" s="50" customFormat="1" x14ac:dyDescent="0.2">
      <c r="E282" s="274"/>
      <c r="G282" s="274"/>
    </row>
    <row r="283" spans="5:7" s="50" customFormat="1" x14ac:dyDescent="0.2">
      <c r="E283" s="274"/>
      <c r="G283" s="274"/>
    </row>
    <row r="284" spans="5:7" s="50" customFormat="1" x14ac:dyDescent="0.2">
      <c r="E284" s="274"/>
      <c r="G284" s="274"/>
    </row>
    <row r="285" spans="5:7" s="50" customFormat="1" x14ac:dyDescent="0.2">
      <c r="E285" s="274"/>
      <c r="G285" s="274"/>
    </row>
    <row r="286" spans="5:7" s="50" customFormat="1" x14ac:dyDescent="0.2">
      <c r="E286" s="274"/>
      <c r="G286" s="274"/>
    </row>
    <row r="287" spans="5:7" s="50" customFormat="1" x14ac:dyDescent="0.2">
      <c r="E287" s="274"/>
      <c r="G287" s="274"/>
    </row>
    <row r="288" spans="5:7" s="50" customFormat="1" x14ac:dyDescent="0.2">
      <c r="E288" s="274"/>
      <c r="G288" s="274"/>
    </row>
    <row r="289" spans="5:7" s="50" customFormat="1" x14ac:dyDescent="0.2">
      <c r="E289" s="274"/>
      <c r="G289" s="274"/>
    </row>
    <row r="290" spans="5:7" s="50" customFormat="1" x14ac:dyDescent="0.2">
      <c r="E290" s="274"/>
      <c r="G290" s="274"/>
    </row>
    <row r="291" spans="5:7" s="50" customFormat="1" x14ac:dyDescent="0.2">
      <c r="E291" s="274"/>
      <c r="G291" s="274"/>
    </row>
    <row r="292" spans="5:7" s="50" customFormat="1" x14ac:dyDescent="0.2">
      <c r="E292" s="274"/>
      <c r="G292" s="274"/>
    </row>
    <row r="293" spans="5:7" s="50" customFormat="1" x14ac:dyDescent="0.2">
      <c r="E293" s="274"/>
      <c r="G293" s="274"/>
    </row>
    <row r="294" spans="5:7" s="50" customFormat="1" x14ac:dyDescent="0.2">
      <c r="E294" s="274"/>
      <c r="G294" s="274"/>
    </row>
    <row r="295" spans="5:7" s="50" customFormat="1" x14ac:dyDescent="0.2">
      <c r="E295" s="274"/>
      <c r="G295" s="274"/>
    </row>
    <row r="296" spans="5:7" s="50" customFormat="1" x14ac:dyDescent="0.2">
      <c r="E296" s="274"/>
      <c r="G296" s="274"/>
    </row>
    <row r="297" spans="5:7" s="50" customFormat="1" x14ac:dyDescent="0.2">
      <c r="E297" s="274"/>
      <c r="G297" s="274"/>
    </row>
    <row r="298" spans="5:7" s="50" customFormat="1" x14ac:dyDescent="0.2">
      <c r="E298" s="274"/>
      <c r="G298" s="274"/>
    </row>
    <row r="299" spans="5:7" s="50" customFormat="1" x14ac:dyDescent="0.2">
      <c r="E299" s="274"/>
      <c r="G299" s="274"/>
    </row>
    <row r="300" spans="5:7" s="50" customFormat="1" x14ac:dyDescent="0.2">
      <c r="E300" s="274"/>
      <c r="G300" s="274"/>
    </row>
    <row r="301" spans="5:7" s="50" customFormat="1" x14ac:dyDescent="0.2">
      <c r="E301" s="274"/>
      <c r="G301" s="274"/>
    </row>
    <row r="302" spans="5:7" s="50" customFormat="1" x14ac:dyDescent="0.2">
      <c r="E302" s="274"/>
      <c r="G302" s="274"/>
    </row>
    <row r="303" spans="5:7" s="50" customFormat="1" x14ac:dyDescent="0.2">
      <c r="E303" s="274"/>
      <c r="G303" s="274"/>
    </row>
    <row r="304" spans="5:7" s="50" customFormat="1" x14ac:dyDescent="0.2">
      <c r="E304" s="274"/>
      <c r="G304" s="274"/>
    </row>
    <row r="305" spans="5:7" s="50" customFormat="1" x14ac:dyDescent="0.2">
      <c r="E305" s="274"/>
      <c r="G305" s="274"/>
    </row>
    <row r="306" spans="5:7" s="50" customFormat="1" x14ac:dyDescent="0.2">
      <c r="E306" s="274"/>
      <c r="G306" s="274"/>
    </row>
    <row r="307" spans="5:7" s="50" customFormat="1" x14ac:dyDescent="0.2">
      <c r="E307" s="274"/>
      <c r="G307" s="274"/>
    </row>
    <row r="308" spans="5:7" s="50" customFormat="1" x14ac:dyDescent="0.2">
      <c r="E308" s="274"/>
      <c r="G308" s="274"/>
    </row>
    <row r="309" spans="5:7" s="50" customFormat="1" x14ac:dyDescent="0.2">
      <c r="E309" s="274"/>
      <c r="G309" s="274"/>
    </row>
    <row r="310" spans="5:7" s="50" customFormat="1" x14ac:dyDescent="0.2">
      <c r="E310" s="274"/>
      <c r="G310" s="274"/>
    </row>
    <row r="311" spans="5:7" s="50" customFormat="1" x14ac:dyDescent="0.2">
      <c r="E311" s="274"/>
      <c r="G311" s="274"/>
    </row>
    <row r="312" spans="5:7" s="50" customFormat="1" x14ac:dyDescent="0.2">
      <c r="E312" s="274"/>
      <c r="G312" s="274"/>
    </row>
    <row r="313" spans="5:7" s="50" customFormat="1" x14ac:dyDescent="0.2">
      <c r="E313" s="274"/>
      <c r="G313" s="274"/>
    </row>
    <row r="314" spans="5:7" s="50" customFormat="1" x14ac:dyDescent="0.2">
      <c r="E314" s="274"/>
      <c r="G314" s="274"/>
    </row>
    <row r="315" spans="5:7" s="50" customFormat="1" x14ac:dyDescent="0.2">
      <c r="E315" s="274"/>
      <c r="G315" s="274"/>
    </row>
    <row r="316" spans="5:7" s="50" customFormat="1" x14ac:dyDescent="0.2">
      <c r="E316" s="274"/>
      <c r="G316" s="274"/>
    </row>
    <row r="317" spans="5:7" s="50" customFormat="1" x14ac:dyDescent="0.2">
      <c r="E317" s="274"/>
      <c r="G317" s="274"/>
    </row>
    <row r="318" spans="5:7" s="50" customFormat="1" x14ac:dyDescent="0.2">
      <c r="E318" s="274"/>
      <c r="G318" s="274"/>
    </row>
    <row r="319" spans="5:7" s="50" customFormat="1" x14ac:dyDescent="0.2">
      <c r="E319" s="274"/>
      <c r="G319" s="274"/>
    </row>
    <row r="320" spans="5:7" s="50" customFormat="1" x14ac:dyDescent="0.2">
      <c r="E320" s="274"/>
      <c r="G320" s="274"/>
    </row>
    <row r="321" spans="5:7" s="50" customFormat="1" x14ac:dyDescent="0.2">
      <c r="E321" s="274"/>
      <c r="G321" s="274"/>
    </row>
    <row r="322" spans="5:7" s="50" customFormat="1" x14ac:dyDescent="0.2">
      <c r="E322" s="274"/>
      <c r="G322" s="274"/>
    </row>
    <row r="323" spans="5:7" s="50" customFormat="1" x14ac:dyDescent="0.2">
      <c r="E323" s="274"/>
      <c r="G323" s="274"/>
    </row>
    <row r="324" spans="5:7" s="50" customFormat="1" x14ac:dyDescent="0.2">
      <c r="E324" s="274"/>
      <c r="G324" s="274"/>
    </row>
    <row r="325" spans="5:7" s="50" customFormat="1" x14ac:dyDescent="0.2">
      <c r="E325" s="274"/>
      <c r="G325" s="274"/>
    </row>
    <row r="326" spans="5:7" s="50" customFormat="1" x14ac:dyDescent="0.2">
      <c r="E326" s="274"/>
      <c r="G326" s="274"/>
    </row>
    <row r="327" spans="5:7" s="50" customFormat="1" x14ac:dyDescent="0.2">
      <c r="E327" s="274"/>
      <c r="G327" s="274"/>
    </row>
    <row r="328" spans="5:7" s="50" customFormat="1" x14ac:dyDescent="0.2">
      <c r="E328" s="274"/>
      <c r="G328" s="274"/>
    </row>
    <row r="329" spans="5:7" s="50" customFormat="1" x14ac:dyDescent="0.2">
      <c r="E329" s="274"/>
      <c r="G329" s="274"/>
    </row>
    <row r="330" spans="5:7" s="50" customFormat="1" x14ac:dyDescent="0.2">
      <c r="E330" s="274"/>
      <c r="G330" s="274"/>
    </row>
    <row r="331" spans="5:7" s="50" customFormat="1" x14ac:dyDescent="0.2">
      <c r="E331" s="274"/>
      <c r="G331" s="274"/>
    </row>
    <row r="332" spans="5:7" s="50" customFormat="1" x14ac:dyDescent="0.2">
      <c r="E332" s="274"/>
      <c r="G332" s="274"/>
    </row>
    <row r="333" spans="5:7" s="50" customFormat="1" x14ac:dyDescent="0.2">
      <c r="E333" s="274"/>
      <c r="G333" s="274"/>
    </row>
    <row r="334" spans="5:7" s="50" customFormat="1" x14ac:dyDescent="0.2">
      <c r="E334" s="274"/>
      <c r="G334" s="274"/>
    </row>
  </sheetData>
  <mergeCells count="96">
    <mergeCell ref="A57:A64"/>
    <mergeCell ref="A2:C2"/>
    <mergeCell ref="D2:F2"/>
    <mergeCell ref="A3:C3"/>
    <mergeCell ref="D3:F3"/>
    <mergeCell ref="C5:G5"/>
    <mergeCell ref="C6:E6"/>
    <mergeCell ref="F6:G6"/>
    <mergeCell ref="A8:A20"/>
    <mergeCell ref="A21:A27"/>
    <mergeCell ref="A28:A38"/>
    <mergeCell ref="A39:A46"/>
    <mergeCell ref="A47:A56"/>
    <mergeCell ref="B198:D198"/>
    <mergeCell ref="C199:D199"/>
    <mergeCell ref="A65:A76"/>
    <mergeCell ref="A77:A82"/>
    <mergeCell ref="A83:A94"/>
    <mergeCell ref="A95:A110"/>
    <mergeCell ref="A111:A116"/>
    <mergeCell ref="A117:A129"/>
    <mergeCell ref="A130:A139"/>
    <mergeCell ref="A140:A151"/>
    <mergeCell ref="A152:A157"/>
    <mergeCell ref="A158:A182"/>
    <mergeCell ref="A198:A199"/>
    <mergeCell ref="A200:A204"/>
    <mergeCell ref="B200:D200"/>
    <mergeCell ref="B201:D201"/>
    <mergeCell ref="B202:D202"/>
    <mergeCell ref="B203:D203"/>
    <mergeCell ref="B204:D204"/>
    <mergeCell ref="A205:A207"/>
    <mergeCell ref="B205:D205"/>
    <mergeCell ref="B206:D206"/>
    <mergeCell ref="B207:D207"/>
    <mergeCell ref="A208:A211"/>
    <mergeCell ref="B208:D208"/>
    <mergeCell ref="B209:D209"/>
    <mergeCell ref="B210:D210"/>
    <mergeCell ref="B211:D211"/>
    <mergeCell ref="B212:D212"/>
    <mergeCell ref="A213:A216"/>
    <mergeCell ref="B213:D213"/>
    <mergeCell ref="B214:D214"/>
    <mergeCell ref="B215:D215"/>
    <mergeCell ref="B216:D216"/>
    <mergeCell ref="A221:A224"/>
    <mergeCell ref="B221:D221"/>
    <mergeCell ref="B222:D222"/>
    <mergeCell ref="B223:D223"/>
    <mergeCell ref="B224:D224"/>
    <mergeCell ref="A217:A220"/>
    <mergeCell ref="B217:D217"/>
    <mergeCell ref="B218:D218"/>
    <mergeCell ref="B219:D219"/>
    <mergeCell ref="B220:D220"/>
    <mergeCell ref="A225:A226"/>
    <mergeCell ref="B225:D225"/>
    <mergeCell ref="B226:D226"/>
    <mergeCell ref="A227:A229"/>
    <mergeCell ref="B227:D227"/>
    <mergeCell ref="B228:D228"/>
    <mergeCell ref="B229:D229"/>
    <mergeCell ref="A230:A231"/>
    <mergeCell ref="B230:D230"/>
    <mergeCell ref="B231:D231"/>
    <mergeCell ref="A232:A236"/>
    <mergeCell ref="B232:D232"/>
    <mergeCell ref="B233:D233"/>
    <mergeCell ref="B234:D234"/>
    <mergeCell ref="B235:D235"/>
    <mergeCell ref="B236:D236"/>
    <mergeCell ref="A241:A244"/>
    <mergeCell ref="B241:D241"/>
    <mergeCell ref="B242:D242"/>
    <mergeCell ref="B243:D243"/>
    <mergeCell ref="B244:D244"/>
    <mergeCell ref="A237:A240"/>
    <mergeCell ref="B237:D237"/>
    <mergeCell ref="B238:D238"/>
    <mergeCell ref="B239:D239"/>
    <mergeCell ref="B240:D240"/>
    <mergeCell ref="B254:D254"/>
    <mergeCell ref="B255:D255"/>
    <mergeCell ref="B256:D256"/>
    <mergeCell ref="A245:A256"/>
    <mergeCell ref="B245:D245"/>
    <mergeCell ref="B246:D246"/>
    <mergeCell ref="B247:D247"/>
    <mergeCell ref="B248:D248"/>
    <mergeCell ref="B249:D249"/>
    <mergeCell ref="B250:D250"/>
    <mergeCell ref="B251:D251"/>
    <mergeCell ref="B252:D252"/>
    <mergeCell ref="B253:D253"/>
  </mergeCells>
  <pageMargins left="0.7" right="0.7" top="0.75" bottom="0.75" header="0.3" footer="0.3"/>
  <pageSetup paperSize="9" orientation="portrait"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27CFB2-E52C-4BB1-8F3F-FC7688EF96D2}">
  <sheetPr codeName="Hoja8"/>
  <dimension ref="B1:J14"/>
  <sheetViews>
    <sheetView topLeftCell="B1" workbookViewId="0">
      <selection activeCell="D6" sqref="D6:D7"/>
    </sheetView>
  </sheetViews>
  <sheetFormatPr baseColWidth="10" defaultColWidth="11.42578125" defaultRowHeight="15" x14ac:dyDescent="0.25"/>
  <cols>
    <col min="2" max="2" width="16.140625" customWidth="1"/>
  </cols>
  <sheetData>
    <row r="1" spans="2:10" ht="15.75" thickBot="1" x14ac:dyDescent="0.3"/>
    <row r="2" spans="2:10" x14ac:dyDescent="0.25">
      <c r="B2" s="667" t="s">
        <v>1328</v>
      </c>
      <c r="C2" s="7" t="s">
        <v>1329</v>
      </c>
      <c r="D2" s="665">
        <f>+C3*D13</f>
        <v>0.2</v>
      </c>
      <c r="E2" s="670">
        <f>+C3*E13</f>
        <v>0.4</v>
      </c>
      <c r="F2" s="670">
        <f>+C3*F13</f>
        <v>0.6</v>
      </c>
      <c r="G2" s="678">
        <f>+C3*G13</f>
        <v>0.8</v>
      </c>
      <c r="H2" s="678">
        <f>+C3*H13</f>
        <v>1</v>
      </c>
      <c r="I2" s="657"/>
      <c r="J2" s="676" t="s">
        <v>1330</v>
      </c>
    </row>
    <row r="3" spans="2:10" ht="15.75" thickBot="1" x14ac:dyDescent="0.3">
      <c r="B3" s="668"/>
      <c r="C3" s="8">
        <v>1</v>
      </c>
      <c r="D3" s="666"/>
      <c r="E3" s="671"/>
      <c r="F3" s="671"/>
      <c r="G3" s="679"/>
      <c r="H3" s="679"/>
      <c r="I3" s="657"/>
      <c r="J3" s="677"/>
    </row>
    <row r="4" spans="2:10" x14ac:dyDescent="0.25">
      <c r="B4" s="668"/>
      <c r="C4" s="9" t="s">
        <v>1331</v>
      </c>
      <c r="D4" s="665">
        <f>+C5*D13</f>
        <v>0.16000000000000003</v>
      </c>
      <c r="E4" s="665">
        <f>+C5*E13</f>
        <v>0.32000000000000006</v>
      </c>
      <c r="F4" s="670">
        <f>+C5*F13</f>
        <v>0.48</v>
      </c>
      <c r="G4" s="670">
        <f>+C5*G13</f>
        <v>0.64000000000000012</v>
      </c>
      <c r="H4" s="678">
        <f>+C5*H13</f>
        <v>0.8</v>
      </c>
      <c r="I4" s="657"/>
      <c r="J4" s="680" t="s">
        <v>1332</v>
      </c>
    </row>
    <row r="5" spans="2:10" ht="15.75" thickBot="1" x14ac:dyDescent="0.3">
      <c r="B5" s="668"/>
      <c r="C5" s="10">
        <v>0.8</v>
      </c>
      <c r="D5" s="666"/>
      <c r="E5" s="666"/>
      <c r="F5" s="671"/>
      <c r="G5" s="671"/>
      <c r="H5" s="679"/>
      <c r="I5" s="657"/>
      <c r="J5" s="681"/>
    </row>
    <row r="6" spans="2:10" x14ac:dyDescent="0.25">
      <c r="B6" s="668"/>
      <c r="C6" s="9" t="s">
        <v>1333</v>
      </c>
      <c r="D6" s="665">
        <f>+C7*D13</f>
        <v>0.12</v>
      </c>
      <c r="E6" s="665">
        <f>+C7*E13</f>
        <v>0.24</v>
      </c>
      <c r="F6" s="665">
        <f>+C7*F13</f>
        <v>0.36</v>
      </c>
      <c r="G6" s="670">
        <f>+C7*G13</f>
        <v>0.48</v>
      </c>
      <c r="H6" s="670">
        <f>+C7*H13</f>
        <v>0.6</v>
      </c>
      <c r="I6" s="657"/>
      <c r="J6" s="672" t="s">
        <v>1340</v>
      </c>
    </row>
    <row r="7" spans="2:10" ht="15.75" thickBot="1" x14ac:dyDescent="0.3">
      <c r="B7" s="668"/>
      <c r="C7" s="10">
        <v>0.6</v>
      </c>
      <c r="D7" s="666"/>
      <c r="E7" s="666"/>
      <c r="F7" s="666"/>
      <c r="G7" s="671"/>
      <c r="H7" s="671"/>
      <c r="I7" s="657"/>
      <c r="J7" s="673"/>
    </row>
    <row r="8" spans="2:10" x14ac:dyDescent="0.25">
      <c r="B8" s="668"/>
      <c r="C8" s="9" t="s">
        <v>1335</v>
      </c>
      <c r="D8" s="663">
        <f>+C9*D13</f>
        <v>8.0000000000000016E-2</v>
      </c>
      <c r="E8" s="665">
        <f>+C9*E13</f>
        <v>0.16000000000000003</v>
      </c>
      <c r="F8" s="665">
        <f>+C9*F13</f>
        <v>0.24</v>
      </c>
      <c r="G8" s="665">
        <f>+C9*G13</f>
        <v>0.32000000000000006</v>
      </c>
      <c r="H8" s="670">
        <f>+C9*H13</f>
        <v>0.4</v>
      </c>
      <c r="I8" s="657"/>
      <c r="J8" s="674" t="s">
        <v>1336</v>
      </c>
    </row>
    <row r="9" spans="2:10" ht="15.75" thickBot="1" x14ac:dyDescent="0.3">
      <c r="B9" s="668"/>
      <c r="C9" s="10">
        <v>0.4</v>
      </c>
      <c r="D9" s="664"/>
      <c r="E9" s="666"/>
      <c r="F9" s="666"/>
      <c r="G9" s="666"/>
      <c r="H9" s="671"/>
      <c r="I9" s="657"/>
      <c r="J9" s="675"/>
    </row>
    <row r="10" spans="2:10" x14ac:dyDescent="0.25">
      <c r="B10" s="668"/>
      <c r="C10" s="9" t="s">
        <v>1337</v>
      </c>
      <c r="D10" s="663">
        <f>+C11*D13</f>
        <v>4.0000000000000008E-2</v>
      </c>
      <c r="E10" s="663">
        <f>+$C$11*E13</f>
        <v>8.0000000000000016E-2</v>
      </c>
      <c r="F10" s="665">
        <f>+$C$11*F13</f>
        <v>0.12</v>
      </c>
      <c r="G10" s="665">
        <f>+C11*G13</f>
        <v>0.16000000000000003</v>
      </c>
      <c r="H10" s="665">
        <f>+$C$11*H13</f>
        <v>0.2</v>
      </c>
      <c r="I10" s="655"/>
      <c r="J10" s="654"/>
    </row>
    <row r="11" spans="2:10" ht="15.75" thickBot="1" x14ac:dyDescent="0.3">
      <c r="B11" s="669"/>
      <c r="C11" s="10">
        <v>0.2</v>
      </c>
      <c r="D11" s="664"/>
      <c r="E11" s="664"/>
      <c r="F11" s="666"/>
      <c r="G11" s="666"/>
      <c r="H11" s="666"/>
      <c r="I11" s="655"/>
      <c r="J11" s="655"/>
    </row>
    <row r="12" spans="2:10" x14ac:dyDescent="0.25">
      <c r="B12" s="654"/>
      <c r="C12" s="656"/>
      <c r="D12" s="9" t="s">
        <v>1338</v>
      </c>
      <c r="E12" s="9" t="s">
        <v>1339</v>
      </c>
      <c r="F12" s="9" t="s">
        <v>1340</v>
      </c>
      <c r="G12" s="9" t="s">
        <v>1341</v>
      </c>
      <c r="H12" s="9" t="s">
        <v>1342</v>
      </c>
      <c r="I12" s="658"/>
      <c r="J12" s="659"/>
    </row>
    <row r="13" spans="2:10" ht="15.75" thickBot="1" x14ac:dyDescent="0.3">
      <c r="B13" s="655"/>
      <c r="C13" s="657"/>
      <c r="D13" s="10">
        <v>0.2</v>
      </c>
      <c r="E13" s="10">
        <v>0.4</v>
      </c>
      <c r="F13" s="10">
        <v>0.6</v>
      </c>
      <c r="G13" s="10">
        <v>0.8</v>
      </c>
      <c r="H13" s="10">
        <v>1</v>
      </c>
      <c r="I13" s="658"/>
      <c r="J13" s="659"/>
    </row>
    <row r="14" spans="2:10" ht="15.75" thickBot="1" x14ac:dyDescent="0.3">
      <c r="D14" s="660" t="s">
        <v>1343</v>
      </c>
      <c r="E14" s="661"/>
      <c r="F14" s="661"/>
      <c r="G14" s="661"/>
      <c r="H14" s="662"/>
    </row>
  </sheetData>
  <mergeCells count="40">
    <mergeCell ref="I2:I3"/>
    <mergeCell ref="J2:J3"/>
    <mergeCell ref="D4:D5"/>
    <mergeCell ref="E4:E5"/>
    <mergeCell ref="F4:F5"/>
    <mergeCell ref="G4:G5"/>
    <mergeCell ref="H4:H5"/>
    <mergeCell ref="I4:I5"/>
    <mergeCell ref="J4:J5"/>
    <mergeCell ref="D2:D3"/>
    <mergeCell ref="E2:E3"/>
    <mergeCell ref="F2:F3"/>
    <mergeCell ref="G2:G3"/>
    <mergeCell ref="H2:H3"/>
    <mergeCell ref="J8:J9"/>
    <mergeCell ref="D6:D7"/>
    <mergeCell ref="E6:E7"/>
    <mergeCell ref="F6:F7"/>
    <mergeCell ref="G6:G7"/>
    <mergeCell ref="E8:E9"/>
    <mergeCell ref="F8:F9"/>
    <mergeCell ref="G8:G9"/>
    <mergeCell ref="H8:H9"/>
    <mergeCell ref="I8:I9"/>
    <mergeCell ref="J10:J11"/>
    <mergeCell ref="B12:C13"/>
    <mergeCell ref="I12:I13"/>
    <mergeCell ref="J12:J13"/>
    <mergeCell ref="D14:H14"/>
    <mergeCell ref="D10:D11"/>
    <mergeCell ref="E10:E11"/>
    <mergeCell ref="F10:F11"/>
    <mergeCell ref="G10:G11"/>
    <mergeCell ref="H10:H11"/>
    <mergeCell ref="I10:I11"/>
    <mergeCell ref="B2:B11"/>
    <mergeCell ref="H6:H7"/>
    <mergeCell ref="I6:I7"/>
    <mergeCell ref="J6:J7"/>
    <mergeCell ref="D8:D9"/>
  </mergeCells>
  <pageMargins left="0.7" right="0.7" top="0.75" bottom="0.75" header="0.3" footer="0.3"/>
  <ignoredErrors>
    <ignoredError sqref="G10"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95027-A5F4-45AC-9A98-D864A71364C6}">
  <sheetPr codeName="Hoja10"/>
  <dimension ref="B1:I18"/>
  <sheetViews>
    <sheetView workbookViewId="0">
      <selection activeCell="I27" sqref="I27"/>
    </sheetView>
  </sheetViews>
  <sheetFormatPr baseColWidth="10" defaultRowHeight="12.75" x14ac:dyDescent="0.2"/>
  <cols>
    <col min="1" max="1" width="11.42578125" style="4"/>
    <col min="2" max="2" width="9.5703125" style="4" customWidth="1"/>
    <col min="3" max="3" width="9.7109375" style="4" customWidth="1"/>
    <col min="4" max="4" width="16.140625" style="4" customWidth="1"/>
    <col min="5" max="5" width="35.85546875" style="4" customWidth="1"/>
    <col min="6" max="6" width="24" style="4" customWidth="1"/>
    <col min="7" max="7" width="9.28515625" style="4" customWidth="1"/>
    <col min="8" max="8" width="9.5703125" style="4" customWidth="1"/>
    <col min="9" max="257" width="11.42578125" style="4"/>
    <col min="258" max="258" width="9.5703125" style="4" customWidth="1"/>
    <col min="259" max="259" width="5.42578125" style="4" customWidth="1"/>
    <col min="260" max="260" width="16.140625" style="4" customWidth="1"/>
    <col min="261" max="261" width="35.85546875" style="4" customWidth="1"/>
    <col min="262" max="262" width="24" style="4" customWidth="1"/>
    <col min="263" max="263" width="9.28515625" style="4" customWidth="1"/>
    <col min="264" max="264" width="9.5703125" style="4" customWidth="1"/>
    <col min="265" max="513" width="11.42578125" style="4"/>
    <col min="514" max="514" width="9.5703125" style="4" customWidth="1"/>
    <col min="515" max="515" width="5.42578125" style="4" customWidth="1"/>
    <col min="516" max="516" width="16.140625" style="4" customWidth="1"/>
    <col min="517" max="517" width="35.85546875" style="4" customWidth="1"/>
    <col min="518" max="518" width="24" style="4" customWidth="1"/>
    <col min="519" max="519" width="9.28515625" style="4" customWidth="1"/>
    <col min="520" max="520" width="9.5703125" style="4" customWidth="1"/>
    <col min="521" max="769" width="11.42578125" style="4"/>
    <col min="770" max="770" width="9.5703125" style="4" customWidth="1"/>
    <col min="771" max="771" width="5.42578125" style="4" customWidth="1"/>
    <col min="772" max="772" width="16.140625" style="4" customWidth="1"/>
    <col min="773" max="773" width="35.85546875" style="4" customWidth="1"/>
    <col min="774" max="774" width="24" style="4" customWidth="1"/>
    <col min="775" max="775" width="9.28515625" style="4" customWidth="1"/>
    <col min="776" max="776" width="9.5703125" style="4" customWidth="1"/>
    <col min="777" max="1025" width="11.42578125" style="4"/>
    <col min="1026" max="1026" width="9.5703125" style="4" customWidth="1"/>
    <col min="1027" max="1027" width="5.42578125" style="4" customWidth="1"/>
    <col min="1028" max="1028" width="16.140625" style="4" customWidth="1"/>
    <col min="1029" max="1029" width="35.85546875" style="4" customWidth="1"/>
    <col min="1030" max="1030" width="24" style="4" customWidth="1"/>
    <col min="1031" max="1031" width="9.28515625" style="4" customWidth="1"/>
    <col min="1032" max="1032" width="9.5703125" style="4" customWidth="1"/>
    <col min="1033" max="1281" width="11.42578125" style="4"/>
    <col min="1282" max="1282" width="9.5703125" style="4" customWidth="1"/>
    <col min="1283" max="1283" width="5.42578125" style="4" customWidth="1"/>
    <col min="1284" max="1284" width="16.140625" style="4" customWidth="1"/>
    <col min="1285" max="1285" width="35.85546875" style="4" customWidth="1"/>
    <col min="1286" max="1286" width="24" style="4" customWidth="1"/>
    <col min="1287" max="1287" width="9.28515625" style="4" customWidth="1"/>
    <col min="1288" max="1288" width="9.5703125" style="4" customWidth="1"/>
    <col min="1289" max="1537" width="11.42578125" style="4"/>
    <col min="1538" max="1538" width="9.5703125" style="4" customWidth="1"/>
    <col min="1539" max="1539" width="5.42578125" style="4" customWidth="1"/>
    <col min="1540" max="1540" width="16.140625" style="4" customWidth="1"/>
    <col min="1541" max="1541" width="35.85546875" style="4" customWidth="1"/>
    <col min="1542" max="1542" width="24" style="4" customWidth="1"/>
    <col min="1543" max="1543" width="9.28515625" style="4" customWidth="1"/>
    <col min="1544" max="1544" width="9.5703125" style="4" customWidth="1"/>
    <col min="1545" max="1793" width="11.42578125" style="4"/>
    <col min="1794" max="1794" width="9.5703125" style="4" customWidth="1"/>
    <col min="1795" max="1795" width="5.42578125" style="4" customWidth="1"/>
    <col min="1796" max="1796" width="16.140625" style="4" customWidth="1"/>
    <col min="1797" max="1797" width="35.85546875" style="4" customWidth="1"/>
    <col min="1798" max="1798" width="24" style="4" customWidth="1"/>
    <col min="1799" max="1799" width="9.28515625" style="4" customWidth="1"/>
    <col min="1800" max="1800" width="9.5703125" style="4" customWidth="1"/>
    <col min="1801" max="2049" width="11.42578125" style="4"/>
    <col min="2050" max="2050" width="9.5703125" style="4" customWidth="1"/>
    <col min="2051" max="2051" width="5.42578125" style="4" customWidth="1"/>
    <col min="2052" max="2052" width="16.140625" style="4" customWidth="1"/>
    <col min="2053" max="2053" width="35.85546875" style="4" customWidth="1"/>
    <col min="2054" max="2054" width="24" style="4" customWidth="1"/>
    <col min="2055" max="2055" width="9.28515625" style="4" customWidth="1"/>
    <col min="2056" max="2056" width="9.5703125" style="4" customWidth="1"/>
    <col min="2057" max="2305" width="11.42578125" style="4"/>
    <col min="2306" max="2306" width="9.5703125" style="4" customWidth="1"/>
    <col min="2307" max="2307" width="5.42578125" style="4" customWidth="1"/>
    <col min="2308" max="2308" width="16.140625" style="4" customWidth="1"/>
    <col min="2309" max="2309" width="35.85546875" style="4" customWidth="1"/>
    <col min="2310" max="2310" width="24" style="4" customWidth="1"/>
    <col min="2311" max="2311" width="9.28515625" style="4" customWidth="1"/>
    <col min="2312" max="2312" width="9.5703125" style="4" customWidth="1"/>
    <col min="2313" max="2561" width="11.42578125" style="4"/>
    <col min="2562" max="2562" width="9.5703125" style="4" customWidth="1"/>
    <col min="2563" max="2563" width="5.42578125" style="4" customWidth="1"/>
    <col min="2564" max="2564" width="16.140625" style="4" customWidth="1"/>
    <col min="2565" max="2565" width="35.85546875" style="4" customWidth="1"/>
    <col min="2566" max="2566" width="24" style="4" customWidth="1"/>
    <col min="2567" max="2567" width="9.28515625" style="4" customWidth="1"/>
    <col min="2568" max="2568" width="9.5703125" style="4" customWidth="1"/>
    <col min="2569" max="2817" width="11.42578125" style="4"/>
    <col min="2818" max="2818" width="9.5703125" style="4" customWidth="1"/>
    <col min="2819" max="2819" width="5.42578125" style="4" customWidth="1"/>
    <col min="2820" max="2820" width="16.140625" style="4" customWidth="1"/>
    <col min="2821" max="2821" width="35.85546875" style="4" customWidth="1"/>
    <col min="2822" max="2822" width="24" style="4" customWidth="1"/>
    <col min="2823" max="2823" width="9.28515625" style="4" customWidth="1"/>
    <col min="2824" max="2824" width="9.5703125" style="4" customWidth="1"/>
    <col min="2825" max="3073" width="11.42578125" style="4"/>
    <col min="3074" max="3074" width="9.5703125" style="4" customWidth="1"/>
    <col min="3075" max="3075" width="5.42578125" style="4" customWidth="1"/>
    <col min="3076" max="3076" width="16.140625" style="4" customWidth="1"/>
    <col min="3077" max="3077" width="35.85546875" style="4" customWidth="1"/>
    <col min="3078" max="3078" width="24" style="4" customWidth="1"/>
    <col min="3079" max="3079" width="9.28515625" style="4" customWidth="1"/>
    <col min="3080" max="3080" width="9.5703125" style="4" customWidth="1"/>
    <col min="3081" max="3329" width="11.42578125" style="4"/>
    <col min="3330" max="3330" width="9.5703125" style="4" customWidth="1"/>
    <col min="3331" max="3331" width="5.42578125" style="4" customWidth="1"/>
    <col min="3332" max="3332" width="16.140625" style="4" customWidth="1"/>
    <col min="3333" max="3333" width="35.85546875" style="4" customWidth="1"/>
    <col min="3334" max="3334" width="24" style="4" customWidth="1"/>
    <col min="3335" max="3335" width="9.28515625" style="4" customWidth="1"/>
    <col min="3336" max="3336" width="9.5703125" style="4" customWidth="1"/>
    <col min="3337" max="3585" width="11.42578125" style="4"/>
    <col min="3586" max="3586" width="9.5703125" style="4" customWidth="1"/>
    <col min="3587" max="3587" width="5.42578125" style="4" customWidth="1"/>
    <col min="3588" max="3588" width="16.140625" style="4" customWidth="1"/>
    <col min="3589" max="3589" width="35.85546875" style="4" customWidth="1"/>
    <col min="3590" max="3590" width="24" style="4" customWidth="1"/>
    <col min="3591" max="3591" width="9.28515625" style="4" customWidth="1"/>
    <col min="3592" max="3592" width="9.5703125" style="4" customWidth="1"/>
    <col min="3593" max="3841" width="11.42578125" style="4"/>
    <col min="3842" max="3842" width="9.5703125" style="4" customWidth="1"/>
    <col min="3843" max="3843" width="5.42578125" style="4" customWidth="1"/>
    <col min="3844" max="3844" width="16.140625" style="4" customWidth="1"/>
    <col min="3845" max="3845" width="35.85546875" style="4" customWidth="1"/>
    <col min="3846" max="3846" width="24" style="4" customWidth="1"/>
    <col min="3847" max="3847" width="9.28515625" style="4" customWidth="1"/>
    <col min="3848" max="3848" width="9.5703125" style="4" customWidth="1"/>
    <col min="3849" max="4097" width="11.42578125" style="4"/>
    <col min="4098" max="4098" width="9.5703125" style="4" customWidth="1"/>
    <col min="4099" max="4099" width="5.42578125" style="4" customWidth="1"/>
    <col min="4100" max="4100" width="16.140625" style="4" customWidth="1"/>
    <col min="4101" max="4101" width="35.85546875" style="4" customWidth="1"/>
    <col min="4102" max="4102" width="24" style="4" customWidth="1"/>
    <col min="4103" max="4103" width="9.28515625" style="4" customWidth="1"/>
    <col min="4104" max="4104" width="9.5703125" style="4" customWidth="1"/>
    <col min="4105" max="4353" width="11.42578125" style="4"/>
    <col min="4354" max="4354" width="9.5703125" style="4" customWidth="1"/>
    <col min="4355" max="4355" width="5.42578125" style="4" customWidth="1"/>
    <col min="4356" max="4356" width="16.140625" style="4" customWidth="1"/>
    <col min="4357" max="4357" width="35.85546875" style="4" customWidth="1"/>
    <col min="4358" max="4358" width="24" style="4" customWidth="1"/>
    <col min="4359" max="4359" width="9.28515625" style="4" customWidth="1"/>
    <col min="4360" max="4360" width="9.5703125" style="4" customWidth="1"/>
    <col min="4361" max="4609" width="11.42578125" style="4"/>
    <col min="4610" max="4610" width="9.5703125" style="4" customWidth="1"/>
    <col min="4611" max="4611" width="5.42578125" style="4" customWidth="1"/>
    <col min="4612" max="4612" width="16.140625" style="4" customWidth="1"/>
    <col min="4613" max="4613" width="35.85546875" style="4" customWidth="1"/>
    <col min="4614" max="4614" width="24" style="4" customWidth="1"/>
    <col min="4615" max="4615" width="9.28515625" style="4" customWidth="1"/>
    <col min="4616" max="4616" width="9.5703125" style="4" customWidth="1"/>
    <col min="4617" max="4865" width="11.42578125" style="4"/>
    <col min="4866" max="4866" width="9.5703125" style="4" customWidth="1"/>
    <col min="4867" max="4867" width="5.42578125" style="4" customWidth="1"/>
    <col min="4868" max="4868" width="16.140625" style="4" customWidth="1"/>
    <col min="4869" max="4869" width="35.85546875" style="4" customWidth="1"/>
    <col min="4870" max="4870" width="24" style="4" customWidth="1"/>
    <col min="4871" max="4871" width="9.28515625" style="4" customWidth="1"/>
    <col min="4872" max="4872" width="9.5703125" style="4" customWidth="1"/>
    <col min="4873" max="5121" width="11.42578125" style="4"/>
    <col min="5122" max="5122" width="9.5703125" style="4" customWidth="1"/>
    <col min="5123" max="5123" width="5.42578125" style="4" customWidth="1"/>
    <col min="5124" max="5124" width="16.140625" style="4" customWidth="1"/>
    <col min="5125" max="5125" width="35.85546875" style="4" customWidth="1"/>
    <col min="5126" max="5126" width="24" style="4" customWidth="1"/>
    <col min="5127" max="5127" width="9.28515625" style="4" customWidth="1"/>
    <col min="5128" max="5128" width="9.5703125" style="4" customWidth="1"/>
    <col min="5129" max="5377" width="11.42578125" style="4"/>
    <col min="5378" max="5378" width="9.5703125" style="4" customWidth="1"/>
    <col min="5379" max="5379" width="5.42578125" style="4" customWidth="1"/>
    <col min="5380" max="5380" width="16.140625" style="4" customWidth="1"/>
    <col min="5381" max="5381" width="35.85546875" style="4" customWidth="1"/>
    <col min="5382" max="5382" width="24" style="4" customWidth="1"/>
    <col min="5383" max="5383" width="9.28515625" style="4" customWidth="1"/>
    <col min="5384" max="5384" width="9.5703125" style="4" customWidth="1"/>
    <col min="5385" max="5633" width="11.42578125" style="4"/>
    <col min="5634" max="5634" width="9.5703125" style="4" customWidth="1"/>
    <col min="5635" max="5635" width="5.42578125" style="4" customWidth="1"/>
    <col min="5636" max="5636" width="16.140625" style="4" customWidth="1"/>
    <col min="5637" max="5637" width="35.85546875" style="4" customWidth="1"/>
    <col min="5638" max="5638" width="24" style="4" customWidth="1"/>
    <col min="5639" max="5639" width="9.28515625" style="4" customWidth="1"/>
    <col min="5640" max="5640" width="9.5703125" style="4" customWidth="1"/>
    <col min="5641" max="5889" width="11.42578125" style="4"/>
    <col min="5890" max="5890" width="9.5703125" style="4" customWidth="1"/>
    <col min="5891" max="5891" width="5.42578125" style="4" customWidth="1"/>
    <col min="5892" max="5892" width="16.140625" style="4" customWidth="1"/>
    <col min="5893" max="5893" width="35.85546875" style="4" customWidth="1"/>
    <col min="5894" max="5894" width="24" style="4" customWidth="1"/>
    <col min="5895" max="5895" width="9.28515625" style="4" customWidth="1"/>
    <col min="5896" max="5896" width="9.5703125" style="4" customWidth="1"/>
    <col min="5897" max="6145" width="11.42578125" style="4"/>
    <col min="6146" max="6146" width="9.5703125" style="4" customWidth="1"/>
    <col min="6147" max="6147" width="5.42578125" style="4" customWidth="1"/>
    <col min="6148" max="6148" width="16.140625" style="4" customWidth="1"/>
    <col min="6149" max="6149" width="35.85546875" style="4" customWidth="1"/>
    <col min="6150" max="6150" width="24" style="4" customWidth="1"/>
    <col min="6151" max="6151" width="9.28515625" style="4" customWidth="1"/>
    <col min="6152" max="6152" width="9.5703125" style="4" customWidth="1"/>
    <col min="6153" max="6401" width="11.42578125" style="4"/>
    <col min="6402" max="6402" width="9.5703125" style="4" customWidth="1"/>
    <col min="6403" max="6403" width="5.42578125" style="4" customWidth="1"/>
    <col min="6404" max="6404" width="16.140625" style="4" customWidth="1"/>
    <col min="6405" max="6405" width="35.85546875" style="4" customWidth="1"/>
    <col min="6406" max="6406" width="24" style="4" customWidth="1"/>
    <col min="6407" max="6407" width="9.28515625" style="4" customWidth="1"/>
    <col min="6408" max="6408" width="9.5703125" style="4" customWidth="1"/>
    <col min="6409" max="6657" width="11.42578125" style="4"/>
    <col min="6658" max="6658" width="9.5703125" style="4" customWidth="1"/>
    <col min="6659" max="6659" width="5.42578125" style="4" customWidth="1"/>
    <col min="6660" max="6660" width="16.140625" style="4" customWidth="1"/>
    <col min="6661" max="6661" width="35.85546875" style="4" customWidth="1"/>
    <col min="6662" max="6662" width="24" style="4" customWidth="1"/>
    <col min="6663" max="6663" width="9.28515625" style="4" customWidth="1"/>
    <col min="6664" max="6664" width="9.5703125" style="4" customWidth="1"/>
    <col min="6665" max="6913" width="11.42578125" style="4"/>
    <col min="6914" max="6914" width="9.5703125" style="4" customWidth="1"/>
    <col min="6915" max="6915" width="5.42578125" style="4" customWidth="1"/>
    <col min="6916" max="6916" width="16.140625" style="4" customWidth="1"/>
    <col min="6917" max="6917" width="35.85546875" style="4" customWidth="1"/>
    <col min="6918" max="6918" width="24" style="4" customWidth="1"/>
    <col min="6919" max="6919" width="9.28515625" style="4" customWidth="1"/>
    <col min="6920" max="6920" width="9.5703125" style="4" customWidth="1"/>
    <col min="6921" max="7169" width="11.42578125" style="4"/>
    <col min="7170" max="7170" width="9.5703125" style="4" customWidth="1"/>
    <col min="7171" max="7171" width="5.42578125" style="4" customWidth="1"/>
    <col min="7172" max="7172" width="16.140625" style="4" customWidth="1"/>
    <col min="7173" max="7173" width="35.85546875" style="4" customWidth="1"/>
    <col min="7174" max="7174" width="24" style="4" customWidth="1"/>
    <col min="7175" max="7175" width="9.28515625" style="4" customWidth="1"/>
    <col min="7176" max="7176" width="9.5703125" style="4" customWidth="1"/>
    <col min="7177" max="7425" width="11.42578125" style="4"/>
    <col min="7426" max="7426" width="9.5703125" style="4" customWidth="1"/>
    <col min="7427" max="7427" width="5.42578125" style="4" customWidth="1"/>
    <col min="7428" max="7428" width="16.140625" style="4" customWidth="1"/>
    <col min="7429" max="7429" width="35.85546875" style="4" customWidth="1"/>
    <col min="7430" max="7430" width="24" style="4" customWidth="1"/>
    <col min="7431" max="7431" width="9.28515625" style="4" customWidth="1"/>
    <col min="7432" max="7432" width="9.5703125" style="4" customWidth="1"/>
    <col min="7433" max="7681" width="11.42578125" style="4"/>
    <col min="7682" max="7682" width="9.5703125" style="4" customWidth="1"/>
    <col min="7683" max="7683" width="5.42578125" style="4" customWidth="1"/>
    <col min="7684" max="7684" width="16.140625" style="4" customWidth="1"/>
    <col min="7685" max="7685" width="35.85546875" style="4" customWidth="1"/>
    <col min="7686" max="7686" width="24" style="4" customWidth="1"/>
    <col min="7687" max="7687" width="9.28515625" style="4" customWidth="1"/>
    <col min="7688" max="7688" width="9.5703125" style="4" customWidth="1"/>
    <col min="7689" max="7937" width="11.42578125" style="4"/>
    <col min="7938" max="7938" width="9.5703125" style="4" customWidth="1"/>
    <col min="7939" max="7939" width="5.42578125" style="4" customWidth="1"/>
    <col min="7940" max="7940" width="16.140625" style="4" customWidth="1"/>
    <col min="7941" max="7941" width="35.85546875" style="4" customWidth="1"/>
    <col min="7942" max="7942" width="24" style="4" customWidth="1"/>
    <col min="7943" max="7943" width="9.28515625" style="4" customWidth="1"/>
    <col min="7944" max="7944" width="9.5703125" style="4" customWidth="1"/>
    <col min="7945" max="8193" width="11.42578125" style="4"/>
    <col min="8194" max="8194" width="9.5703125" style="4" customWidth="1"/>
    <col min="8195" max="8195" width="5.42578125" style="4" customWidth="1"/>
    <col min="8196" max="8196" width="16.140625" style="4" customWidth="1"/>
    <col min="8197" max="8197" width="35.85546875" style="4" customWidth="1"/>
    <col min="8198" max="8198" width="24" style="4" customWidth="1"/>
    <col min="8199" max="8199" width="9.28515625" style="4" customWidth="1"/>
    <col min="8200" max="8200" width="9.5703125" style="4" customWidth="1"/>
    <col min="8201" max="8449" width="11.42578125" style="4"/>
    <col min="8450" max="8450" width="9.5703125" style="4" customWidth="1"/>
    <col min="8451" max="8451" width="5.42578125" style="4" customWidth="1"/>
    <col min="8452" max="8452" width="16.140625" style="4" customWidth="1"/>
    <col min="8453" max="8453" width="35.85546875" style="4" customWidth="1"/>
    <col min="8454" max="8454" width="24" style="4" customWidth="1"/>
    <col min="8455" max="8455" width="9.28515625" style="4" customWidth="1"/>
    <col min="8456" max="8456" width="9.5703125" style="4" customWidth="1"/>
    <col min="8457" max="8705" width="11.42578125" style="4"/>
    <col min="8706" max="8706" width="9.5703125" style="4" customWidth="1"/>
    <col min="8707" max="8707" width="5.42578125" style="4" customWidth="1"/>
    <col min="8708" max="8708" width="16.140625" style="4" customWidth="1"/>
    <col min="8709" max="8709" width="35.85546875" style="4" customWidth="1"/>
    <col min="8710" max="8710" width="24" style="4" customWidth="1"/>
    <col min="8711" max="8711" width="9.28515625" style="4" customWidth="1"/>
    <col min="8712" max="8712" width="9.5703125" style="4" customWidth="1"/>
    <col min="8713" max="8961" width="11.42578125" style="4"/>
    <col min="8962" max="8962" width="9.5703125" style="4" customWidth="1"/>
    <col min="8963" max="8963" width="5.42578125" style="4" customWidth="1"/>
    <col min="8964" max="8964" width="16.140625" style="4" customWidth="1"/>
    <col min="8965" max="8965" width="35.85546875" style="4" customWidth="1"/>
    <col min="8966" max="8966" width="24" style="4" customWidth="1"/>
    <col min="8967" max="8967" width="9.28515625" style="4" customWidth="1"/>
    <col min="8968" max="8968" width="9.5703125" style="4" customWidth="1"/>
    <col min="8969" max="9217" width="11.42578125" style="4"/>
    <col min="9218" max="9218" width="9.5703125" style="4" customWidth="1"/>
    <col min="9219" max="9219" width="5.42578125" style="4" customWidth="1"/>
    <col min="9220" max="9220" width="16.140625" style="4" customWidth="1"/>
    <col min="9221" max="9221" width="35.85546875" style="4" customWidth="1"/>
    <col min="9222" max="9222" width="24" style="4" customWidth="1"/>
    <col min="9223" max="9223" width="9.28515625" style="4" customWidth="1"/>
    <col min="9224" max="9224" width="9.5703125" style="4" customWidth="1"/>
    <col min="9225" max="9473" width="11.42578125" style="4"/>
    <col min="9474" max="9474" width="9.5703125" style="4" customWidth="1"/>
    <col min="9475" max="9475" width="5.42578125" style="4" customWidth="1"/>
    <col min="9476" max="9476" width="16.140625" style="4" customWidth="1"/>
    <col min="9477" max="9477" width="35.85546875" style="4" customWidth="1"/>
    <col min="9478" max="9478" width="24" style="4" customWidth="1"/>
    <col min="9479" max="9479" width="9.28515625" style="4" customWidth="1"/>
    <col min="9480" max="9480" width="9.5703125" style="4" customWidth="1"/>
    <col min="9481" max="9729" width="11.42578125" style="4"/>
    <col min="9730" max="9730" width="9.5703125" style="4" customWidth="1"/>
    <col min="9731" max="9731" width="5.42578125" style="4" customWidth="1"/>
    <col min="9732" max="9732" width="16.140625" style="4" customWidth="1"/>
    <col min="9733" max="9733" width="35.85546875" style="4" customWidth="1"/>
    <col min="9734" max="9734" width="24" style="4" customWidth="1"/>
    <col min="9735" max="9735" width="9.28515625" style="4" customWidth="1"/>
    <col min="9736" max="9736" width="9.5703125" style="4" customWidth="1"/>
    <col min="9737" max="9985" width="11.42578125" style="4"/>
    <col min="9986" max="9986" width="9.5703125" style="4" customWidth="1"/>
    <col min="9987" max="9987" width="5.42578125" style="4" customWidth="1"/>
    <col min="9988" max="9988" width="16.140625" style="4" customWidth="1"/>
    <col min="9989" max="9989" width="35.85546875" style="4" customWidth="1"/>
    <col min="9990" max="9990" width="24" style="4" customWidth="1"/>
    <col min="9991" max="9991" width="9.28515625" style="4" customWidth="1"/>
    <col min="9992" max="9992" width="9.5703125" style="4" customWidth="1"/>
    <col min="9993" max="10241" width="11.42578125" style="4"/>
    <col min="10242" max="10242" width="9.5703125" style="4" customWidth="1"/>
    <col min="10243" max="10243" width="5.42578125" style="4" customWidth="1"/>
    <col min="10244" max="10244" width="16.140625" style="4" customWidth="1"/>
    <col min="10245" max="10245" width="35.85546875" style="4" customWidth="1"/>
    <col min="10246" max="10246" width="24" style="4" customWidth="1"/>
    <col min="10247" max="10247" width="9.28515625" style="4" customWidth="1"/>
    <col min="10248" max="10248" width="9.5703125" style="4" customWidth="1"/>
    <col min="10249" max="10497" width="11.42578125" style="4"/>
    <col min="10498" max="10498" width="9.5703125" style="4" customWidth="1"/>
    <col min="10499" max="10499" width="5.42578125" style="4" customWidth="1"/>
    <col min="10500" max="10500" width="16.140625" style="4" customWidth="1"/>
    <col min="10501" max="10501" width="35.85546875" style="4" customWidth="1"/>
    <col min="10502" max="10502" width="24" style="4" customWidth="1"/>
    <col min="10503" max="10503" width="9.28515625" style="4" customWidth="1"/>
    <col min="10504" max="10504" width="9.5703125" style="4" customWidth="1"/>
    <col min="10505" max="10753" width="11.42578125" style="4"/>
    <col min="10754" max="10754" width="9.5703125" style="4" customWidth="1"/>
    <col min="10755" max="10755" width="5.42578125" style="4" customWidth="1"/>
    <col min="10756" max="10756" width="16.140625" style="4" customWidth="1"/>
    <col min="10757" max="10757" width="35.85546875" style="4" customWidth="1"/>
    <col min="10758" max="10758" width="24" style="4" customWidth="1"/>
    <col min="10759" max="10759" width="9.28515625" style="4" customWidth="1"/>
    <col min="10760" max="10760" width="9.5703125" style="4" customWidth="1"/>
    <col min="10761" max="11009" width="11.42578125" style="4"/>
    <col min="11010" max="11010" width="9.5703125" style="4" customWidth="1"/>
    <col min="11011" max="11011" width="5.42578125" style="4" customWidth="1"/>
    <col min="11012" max="11012" width="16.140625" style="4" customWidth="1"/>
    <col min="11013" max="11013" width="35.85546875" style="4" customWidth="1"/>
    <col min="11014" max="11014" width="24" style="4" customWidth="1"/>
    <col min="11015" max="11015" width="9.28515625" style="4" customWidth="1"/>
    <col min="11016" max="11016" width="9.5703125" style="4" customWidth="1"/>
    <col min="11017" max="11265" width="11.42578125" style="4"/>
    <col min="11266" max="11266" width="9.5703125" style="4" customWidth="1"/>
    <col min="11267" max="11267" width="5.42578125" style="4" customWidth="1"/>
    <col min="11268" max="11268" width="16.140625" style="4" customWidth="1"/>
    <col min="11269" max="11269" width="35.85546875" style="4" customWidth="1"/>
    <col min="11270" max="11270" width="24" style="4" customWidth="1"/>
    <col min="11271" max="11271" width="9.28515625" style="4" customWidth="1"/>
    <col min="11272" max="11272" width="9.5703125" style="4" customWidth="1"/>
    <col min="11273" max="11521" width="11.42578125" style="4"/>
    <col min="11522" max="11522" width="9.5703125" style="4" customWidth="1"/>
    <col min="11523" max="11523" width="5.42578125" style="4" customWidth="1"/>
    <col min="11524" max="11524" width="16.140625" style="4" customWidth="1"/>
    <col min="11525" max="11525" width="35.85546875" style="4" customWidth="1"/>
    <col min="11526" max="11526" width="24" style="4" customWidth="1"/>
    <col min="11527" max="11527" width="9.28515625" style="4" customWidth="1"/>
    <col min="11528" max="11528" width="9.5703125" style="4" customWidth="1"/>
    <col min="11529" max="11777" width="11.42578125" style="4"/>
    <col min="11778" max="11778" width="9.5703125" style="4" customWidth="1"/>
    <col min="11779" max="11779" width="5.42578125" style="4" customWidth="1"/>
    <col min="11780" max="11780" width="16.140625" style="4" customWidth="1"/>
    <col min="11781" max="11781" width="35.85546875" style="4" customWidth="1"/>
    <col min="11782" max="11782" width="24" style="4" customWidth="1"/>
    <col min="11783" max="11783" width="9.28515625" style="4" customWidth="1"/>
    <col min="11784" max="11784" width="9.5703125" style="4" customWidth="1"/>
    <col min="11785" max="12033" width="11.42578125" style="4"/>
    <col min="12034" max="12034" width="9.5703125" style="4" customWidth="1"/>
    <col min="12035" max="12035" width="5.42578125" style="4" customWidth="1"/>
    <col min="12036" max="12036" width="16.140625" style="4" customWidth="1"/>
    <col min="12037" max="12037" width="35.85546875" style="4" customWidth="1"/>
    <col min="12038" max="12038" width="24" style="4" customWidth="1"/>
    <col min="12039" max="12039" width="9.28515625" style="4" customWidth="1"/>
    <col min="12040" max="12040" width="9.5703125" style="4" customWidth="1"/>
    <col min="12041" max="12289" width="11.42578125" style="4"/>
    <col min="12290" max="12290" width="9.5703125" style="4" customWidth="1"/>
    <col min="12291" max="12291" width="5.42578125" style="4" customWidth="1"/>
    <col min="12292" max="12292" width="16.140625" style="4" customWidth="1"/>
    <col min="12293" max="12293" width="35.85546875" style="4" customWidth="1"/>
    <col min="12294" max="12294" width="24" style="4" customWidth="1"/>
    <col min="12295" max="12295" width="9.28515625" style="4" customWidth="1"/>
    <col min="12296" max="12296" width="9.5703125" style="4" customWidth="1"/>
    <col min="12297" max="12545" width="11.42578125" style="4"/>
    <col min="12546" max="12546" width="9.5703125" style="4" customWidth="1"/>
    <col min="12547" max="12547" width="5.42578125" style="4" customWidth="1"/>
    <col min="12548" max="12548" width="16.140625" style="4" customWidth="1"/>
    <col min="12549" max="12549" width="35.85546875" style="4" customWidth="1"/>
    <col min="12550" max="12550" width="24" style="4" customWidth="1"/>
    <col min="12551" max="12551" width="9.28515625" style="4" customWidth="1"/>
    <col min="12552" max="12552" width="9.5703125" style="4" customWidth="1"/>
    <col min="12553" max="12801" width="11.42578125" style="4"/>
    <col min="12802" max="12802" width="9.5703125" style="4" customWidth="1"/>
    <col min="12803" max="12803" width="5.42578125" style="4" customWidth="1"/>
    <col min="12804" max="12804" width="16.140625" style="4" customWidth="1"/>
    <col min="12805" max="12805" width="35.85546875" style="4" customWidth="1"/>
    <col min="12806" max="12806" width="24" style="4" customWidth="1"/>
    <col min="12807" max="12807" width="9.28515625" style="4" customWidth="1"/>
    <col min="12808" max="12808" width="9.5703125" style="4" customWidth="1"/>
    <col min="12809" max="13057" width="11.42578125" style="4"/>
    <col min="13058" max="13058" width="9.5703125" style="4" customWidth="1"/>
    <col min="13059" max="13059" width="5.42578125" style="4" customWidth="1"/>
    <col min="13060" max="13060" width="16.140625" style="4" customWidth="1"/>
    <col min="13061" max="13061" width="35.85546875" style="4" customWidth="1"/>
    <col min="13062" max="13062" width="24" style="4" customWidth="1"/>
    <col min="13063" max="13063" width="9.28515625" style="4" customWidth="1"/>
    <col min="13064" max="13064" width="9.5703125" style="4" customWidth="1"/>
    <col min="13065" max="13313" width="11.42578125" style="4"/>
    <col min="13314" max="13314" width="9.5703125" style="4" customWidth="1"/>
    <col min="13315" max="13315" width="5.42578125" style="4" customWidth="1"/>
    <col min="13316" max="13316" width="16.140625" style="4" customWidth="1"/>
    <col min="13317" max="13317" width="35.85546875" style="4" customWidth="1"/>
    <col min="13318" max="13318" width="24" style="4" customWidth="1"/>
    <col min="13319" max="13319" width="9.28515625" style="4" customWidth="1"/>
    <col min="13320" max="13320" width="9.5703125" style="4" customWidth="1"/>
    <col min="13321" max="13569" width="11.42578125" style="4"/>
    <col min="13570" max="13570" width="9.5703125" style="4" customWidth="1"/>
    <col min="13571" max="13571" width="5.42578125" style="4" customWidth="1"/>
    <col min="13572" max="13572" width="16.140625" style="4" customWidth="1"/>
    <col min="13573" max="13573" width="35.85546875" style="4" customWidth="1"/>
    <col min="13574" max="13574" width="24" style="4" customWidth="1"/>
    <col min="13575" max="13575" width="9.28515625" style="4" customWidth="1"/>
    <col min="13576" max="13576" width="9.5703125" style="4" customWidth="1"/>
    <col min="13577" max="13825" width="11.42578125" style="4"/>
    <col min="13826" max="13826" width="9.5703125" style="4" customWidth="1"/>
    <col min="13827" max="13827" width="5.42578125" style="4" customWidth="1"/>
    <col min="13828" max="13828" width="16.140625" style="4" customWidth="1"/>
    <col min="13829" max="13829" width="35.85546875" style="4" customWidth="1"/>
    <col min="13830" max="13830" width="24" style="4" customWidth="1"/>
    <col min="13831" max="13831" width="9.28515625" style="4" customWidth="1"/>
    <col min="13832" max="13832" width="9.5703125" style="4" customWidth="1"/>
    <col min="13833" max="14081" width="11.42578125" style="4"/>
    <col min="14082" max="14082" width="9.5703125" style="4" customWidth="1"/>
    <col min="14083" max="14083" width="5.42578125" style="4" customWidth="1"/>
    <col min="14084" max="14084" width="16.140625" style="4" customWidth="1"/>
    <col min="14085" max="14085" width="35.85546875" style="4" customWidth="1"/>
    <col min="14086" max="14086" width="24" style="4" customWidth="1"/>
    <col min="14087" max="14087" width="9.28515625" style="4" customWidth="1"/>
    <col min="14088" max="14088" width="9.5703125" style="4" customWidth="1"/>
    <col min="14089" max="14337" width="11.42578125" style="4"/>
    <col min="14338" max="14338" width="9.5703125" style="4" customWidth="1"/>
    <col min="14339" max="14339" width="5.42578125" style="4" customWidth="1"/>
    <col min="14340" max="14340" width="16.140625" style="4" customWidth="1"/>
    <col min="14341" max="14341" width="35.85546875" style="4" customWidth="1"/>
    <col min="14342" max="14342" width="24" style="4" customWidth="1"/>
    <col min="14343" max="14343" width="9.28515625" style="4" customWidth="1"/>
    <col min="14344" max="14344" width="9.5703125" style="4" customWidth="1"/>
    <col min="14345" max="14593" width="11.42578125" style="4"/>
    <col min="14594" max="14594" width="9.5703125" style="4" customWidth="1"/>
    <col min="14595" max="14595" width="5.42578125" style="4" customWidth="1"/>
    <col min="14596" max="14596" width="16.140625" style="4" customWidth="1"/>
    <col min="14597" max="14597" width="35.85546875" style="4" customWidth="1"/>
    <col min="14598" max="14598" width="24" style="4" customWidth="1"/>
    <col min="14599" max="14599" width="9.28515625" style="4" customWidth="1"/>
    <col min="14600" max="14600" width="9.5703125" style="4" customWidth="1"/>
    <col min="14601" max="14849" width="11.42578125" style="4"/>
    <col min="14850" max="14850" width="9.5703125" style="4" customWidth="1"/>
    <col min="14851" max="14851" width="5.42578125" style="4" customWidth="1"/>
    <col min="14852" max="14852" width="16.140625" style="4" customWidth="1"/>
    <col min="14853" max="14853" width="35.85546875" style="4" customWidth="1"/>
    <col min="14854" max="14854" width="24" style="4" customWidth="1"/>
    <col min="14855" max="14855" width="9.28515625" style="4" customWidth="1"/>
    <col min="14856" max="14856" width="9.5703125" style="4" customWidth="1"/>
    <col min="14857" max="15105" width="11.42578125" style="4"/>
    <col min="15106" max="15106" width="9.5703125" style="4" customWidth="1"/>
    <col min="15107" max="15107" width="5.42578125" style="4" customWidth="1"/>
    <col min="15108" max="15108" width="16.140625" style="4" customWidth="1"/>
    <col min="15109" max="15109" width="35.85546875" style="4" customWidth="1"/>
    <col min="15110" max="15110" width="24" style="4" customWidth="1"/>
    <col min="15111" max="15111" width="9.28515625" style="4" customWidth="1"/>
    <col min="15112" max="15112" width="9.5703125" style="4" customWidth="1"/>
    <col min="15113" max="15361" width="11.42578125" style="4"/>
    <col min="15362" max="15362" width="9.5703125" style="4" customWidth="1"/>
    <col min="15363" max="15363" width="5.42578125" style="4" customWidth="1"/>
    <col min="15364" max="15364" width="16.140625" style="4" customWidth="1"/>
    <col min="15365" max="15365" width="35.85546875" style="4" customWidth="1"/>
    <col min="15366" max="15366" width="24" style="4" customWidth="1"/>
    <col min="15367" max="15367" width="9.28515625" style="4" customWidth="1"/>
    <col min="15368" max="15368" width="9.5703125" style="4" customWidth="1"/>
    <col min="15369" max="15617" width="11.42578125" style="4"/>
    <col min="15618" max="15618" width="9.5703125" style="4" customWidth="1"/>
    <col min="15619" max="15619" width="5.42578125" style="4" customWidth="1"/>
    <col min="15620" max="15620" width="16.140625" style="4" customWidth="1"/>
    <col min="15621" max="15621" width="35.85546875" style="4" customWidth="1"/>
    <col min="15622" max="15622" width="24" style="4" customWidth="1"/>
    <col min="15623" max="15623" width="9.28515625" style="4" customWidth="1"/>
    <col min="15624" max="15624" width="9.5703125" style="4" customWidth="1"/>
    <col min="15625" max="15873" width="11.42578125" style="4"/>
    <col min="15874" max="15874" width="9.5703125" style="4" customWidth="1"/>
    <col min="15875" max="15875" width="5.42578125" style="4" customWidth="1"/>
    <col min="15876" max="15876" width="16.140625" style="4" customWidth="1"/>
    <col min="15877" max="15877" width="35.85546875" style="4" customWidth="1"/>
    <col min="15878" max="15878" width="24" style="4" customWidth="1"/>
    <col min="15879" max="15879" width="9.28515625" style="4" customWidth="1"/>
    <col min="15880" max="15880" width="9.5703125" style="4" customWidth="1"/>
    <col min="15881" max="16129" width="11.42578125" style="4"/>
    <col min="16130" max="16130" width="9.5703125" style="4" customWidth="1"/>
    <col min="16131" max="16131" width="5.42578125" style="4" customWidth="1"/>
    <col min="16132" max="16132" width="16.140625" style="4" customWidth="1"/>
    <col min="16133" max="16133" width="35.85546875" style="4" customWidth="1"/>
    <col min="16134" max="16134" width="24" style="4" customWidth="1"/>
    <col min="16135" max="16135" width="9.28515625" style="4" customWidth="1"/>
    <col min="16136" max="16136" width="9.5703125" style="4" customWidth="1"/>
    <col min="16137" max="16384" width="11.42578125" style="4"/>
  </cols>
  <sheetData>
    <row r="1" spans="2:9" ht="13.5" thickBot="1" x14ac:dyDescent="0.25"/>
    <row r="2" spans="2:9" ht="27.75" customHeight="1" x14ac:dyDescent="0.2">
      <c r="B2" s="697" t="s">
        <v>699</v>
      </c>
      <c r="C2" s="698"/>
      <c r="D2" s="699" t="s">
        <v>1650</v>
      </c>
      <c r="E2" s="700"/>
      <c r="F2" s="698"/>
      <c r="G2" s="699"/>
      <c r="H2" s="701"/>
    </row>
    <row r="3" spans="2:9" ht="13.5" thickBot="1" x14ac:dyDescent="0.25">
      <c r="B3" s="702" t="s">
        <v>1608</v>
      </c>
      <c r="C3" s="703"/>
      <c r="D3" s="704" t="s">
        <v>1609</v>
      </c>
      <c r="E3" s="705"/>
      <c r="F3" s="703"/>
      <c r="G3" s="706" t="s">
        <v>1651</v>
      </c>
      <c r="H3" s="707"/>
    </row>
    <row r="4" spans="2:9" ht="13.5" thickBot="1" x14ac:dyDescent="0.25">
      <c r="B4" s="396"/>
      <c r="H4" s="397"/>
    </row>
    <row r="5" spans="2:9" ht="13.5" thickBot="1" x14ac:dyDescent="0.25">
      <c r="B5" s="708" t="s">
        <v>1652</v>
      </c>
      <c r="C5" s="709"/>
      <c r="D5" s="709"/>
      <c r="E5" s="709"/>
      <c r="F5" s="709"/>
      <c r="G5" s="709"/>
      <c r="H5" s="710"/>
    </row>
    <row r="6" spans="2:9" ht="13.5" thickBot="1" x14ac:dyDescent="0.25">
      <c r="B6" s="711" t="s">
        <v>1653</v>
      </c>
      <c r="C6" s="712"/>
      <c r="D6" s="399" t="s">
        <v>1654</v>
      </c>
      <c r="E6" s="398" t="s">
        <v>1655</v>
      </c>
      <c r="F6" s="713" t="s">
        <v>1656</v>
      </c>
      <c r="G6" s="714"/>
      <c r="H6" s="715"/>
    </row>
    <row r="7" spans="2:9" s="3" customFormat="1" ht="35.25" customHeight="1" x14ac:dyDescent="0.25">
      <c r="B7" s="716">
        <v>1</v>
      </c>
      <c r="C7" s="717"/>
      <c r="D7" s="400">
        <v>45070</v>
      </c>
      <c r="E7" s="401" t="s">
        <v>1657</v>
      </c>
      <c r="F7" s="718" t="s">
        <v>1658</v>
      </c>
      <c r="G7" s="719"/>
      <c r="H7" s="720"/>
    </row>
    <row r="8" spans="2:9" ht="47.25" customHeight="1" x14ac:dyDescent="0.2">
      <c r="B8" s="693">
        <v>2</v>
      </c>
      <c r="C8" s="694"/>
      <c r="D8" s="402">
        <v>45397</v>
      </c>
      <c r="E8" s="401" t="s">
        <v>1659</v>
      </c>
      <c r="F8" s="695" t="s">
        <v>1660</v>
      </c>
      <c r="G8" s="695"/>
      <c r="H8" s="696"/>
    </row>
    <row r="9" spans="2:9" ht="91.5" customHeight="1" x14ac:dyDescent="0.2">
      <c r="B9" s="693">
        <v>3</v>
      </c>
      <c r="C9" s="694"/>
      <c r="D9" s="402">
        <v>45470</v>
      </c>
      <c r="E9" s="401" t="s">
        <v>1657</v>
      </c>
      <c r="F9" s="695" t="s">
        <v>1661</v>
      </c>
      <c r="G9" s="695"/>
      <c r="H9" s="696"/>
      <c r="I9" s="404"/>
    </row>
    <row r="10" spans="2:9" ht="46.5" customHeight="1" x14ac:dyDescent="0.2">
      <c r="B10" s="693"/>
      <c r="C10" s="694"/>
      <c r="D10" s="402"/>
      <c r="E10" s="403"/>
      <c r="F10" s="695"/>
      <c r="G10" s="695"/>
      <c r="H10" s="696"/>
    </row>
    <row r="11" spans="2:9" x14ac:dyDescent="0.2">
      <c r="B11" s="693"/>
      <c r="C11" s="694"/>
      <c r="D11" s="403"/>
      <c r="E11" s="403"/>
      <c r="F11" s="695"/>
      <c r="G11" s="695"/>
      <c r="H11" s="696"/>
    </row>
    <row r="12" spans="2:9" x14ac:dyDescent="0.2">
      <c r="B12" s="693"/>
      <c r="C12" s="694"/>
      <c r="D12" s="403"/>
      <c r="E12" s="28"/>
      <c r="F12" s="695"/>
      <c r="G12" s="695"/>
      <c r="H12" s="696"/>
    </row>
    <row r="13" spans="2:9" x14ac:dyDescent="0.2">
      <c r="B13" s="693"/>
      <c r="C13" s="694"/>
      <c r="D13" s="403"/>
      <c r="E13" s="28"/>
      <c r="F13" s="695"/>
      <c r="G13" s="695"/>
      <c r="H13" s="696"/>
    </row>
    <row r="14" spans="2:9" x14ac:dyDescent="0.2">
      <c r="B14" s="693"/>
      <c r="C14" s="694"/>
      <c r="D14" s="403"/>
      <c r="E14" s="28"/>
      <c r="F14" s="695"/>
      <c r="G14" s="695"/>
      <c r="H14" s="696"/>
    </row>
    <row r="15" spans="2:9" x14ac:dyDescent="0.2">
      <c r="B15" s="693"/>
      <c r="C15" s="694"/>
      <c r="D15" s="403"/>
      <c r="E15" s="28"/>
      <c r="F15" s="695"/>
      <c r="G15" s="695"/>
      <c r="H15" s="696"/>
    </row>
    <row r="16" spans="2:9" x14ac:dyDescent="0.2">
      <c r="B16" s="693"/>
      <c r="C16" s="694"/>
      <c r="D16" s="403"/>
      <c r="E16" s="28"/>
      <c r="F16" s="695"/>
      <c r="G16" s="695"/>
      <c r="H16" s="696"/>
    </row>
    <row r="17" spans="2:8" x14ac:dyDescent="0.2">
      <c r="B17" s="693"/>
      <c r="C17" s="694"/>
      <c r="D17" s="403"/>
      <c r="E17" s="28"/>
      <c r="F17" s="695"/>
      <c r="G17" s="695"/>
      <c r="H17" s="696"/>
    </row>
    <row r="18" spans="2:8" ht="13.5" thickBot="1" x14ac:dyDescent="0.25">
      <c r="B18" s="721"/>
      <c r="C18" s="722"/>
      <c r="D18" s="405"/>
      <c r="E18" s="406"/>
      <c r="F18" s="723"/>
      <c r="G18" s="723"/>
      <c r="H18" s="724"/>
    </row>
  </sheetData>
  <mergeCells count="33">
    <mergeCell ref="B18:C18"/>
    <mergeCell ref="F18:H18"/>
    <mergeCell ref="B15:C15"/>
    <mergeCell ref="F15:H15"/>
    <mergeCell ref="B16:C16"/>
    <mergeCell ref="F16:H16"/>
    <mergeCell ref="B17:C17"/>
    <mergeCell ref="F17:H17"/>
    <mergeCell ref="B12:C12"/>
    <mergeCell ref="F12:H12"/>
    <mergeCell ref="B13:C13"/>
    <mergeCell ref="F13:H13"/>
    <mergeCell ref="B14:C14"/>
    <mergeCell ref="F14:H14"/>
    <mergeCell ref="B9:C9"/>
    <mergeCell ref="F9:H9"/>
    <mergeCell ref="B10:C10"/>
    <mergeCell ref="F10:H10"/>
    <mergeCell ref="B11:C11"/>
    <mergeCell ref="F11:H11"/>
    <mergeCell ref="B8:C8"/>
    <mergeCell ref="F8:H8"/>
    <mergeCell ref="B2:C2"/>
    <mergeCell ref="D2:F2"/>
    <mergeCell ref="G2:H2"/>
    <mergeCell ref="B3:C3"/>
    <mergeCell ref="D3:F3"/>
    <mergeCell ref="G3:H3"/>
    <mergeCell ref="B5:H5"/>
    <mergeCell ref="B6:C6"/>
    <mergeCell ref="F6:H6"/>
    <mergeCell ref="B7:C7"/>
    <mergeCell ref="F7:H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A07FF-2849-4657-9BD7-EEBA1A55E752}">
  <sheetPr codeName="Hoja9"/>
  <dimension ref="B2:BT12"/>
  <sheetViews>
    <sheetView zoomScaleNormal="100" workbookViewId="0">
      <selection activeCell="E9" sqref="E9"/>
    </sheetView>
  </sheetViews>
  <sheetFormatPr baseColWidth="10" defaultColWidth="11.42578125" defaultRowHeight="12.75" x14ac:dyDescent="0.2"/>
  <cols>
    <col min="1" max="1" width="5.140625" style="4" customWidth="1"/>
    <col min="2" max="2" width="31.28515625" style="30" customWidth="1"/>
    <col min="3" max="3" width="42.28515625" style="30" customWidth="1"/>
    <col min="4" max="4" width="28.140625" style="30" customWidth="1"/>
    <col min="5" max="5" width="27" style="30" customWidth="1"/>
    <col min="6" max="6" width="38" style="4" customWidth="1"/>
    <col min="7" max="7" width="53" style="4" customWidth="1"/>
    <col min="8" max="8" width="30.7109375" style="4" customWidth="1"/>
    <col min="9" max="9" width="32.140625" style="4" customWidth="1"/>
    <col min="10" max="10" width="27.42578125" style="393" customWidth="1"/>
    <col min="11" max="11" width="38.28515625" style="393" customWidth="1"/>
    <col min="12" max="12" width="48.140625" style="393" customWidth="1"/>
    <col min="13" max="13" width="28.7109375" style="393" customWidth="1"/>
    <col min="14" max="14" width="36.140625" style="393" customWidth="1"/>
    <col min="15" max="15" width="16.28515625" style="394" customWidth="1"/>
    <col min="16" max="16" width="16.42578125" style="4" customWidth="1"/>
    <col min="17" max="17" width="41.28515625" style="4" customWidth="1"/>
    <col min="18" max="18" width="20.28515625" style="395" customWidth="1"/>
    <col min="19" max="19" width="19.7109375" style="4" customWidth="1"/>
    <col min="20" max="20" width="22.5703125" style="395" customWidth="1"/>
    <col min="21" max="21" width="18.42578125" style="4" customWidth="1"/>
    <col min="22" max="22" width="6" style="30" customWidth="1"/>
    <col min="23" max="23" width="57.42578125" style="4" customWidth="1"/>
    <col min="24" max="24" width="17.28515625" style="4" customWidth="1"/>
    <col min="25" max="25" width="27.7109375" style="4" customWidth="1"/>
    <col min="26" max="27" width="23.5703125" style="4" customWidth="1"/>
    <col min="28" max="28" width="21.85546875" style="4" customWidth="1"/>
    <col min="29" max="29" width="22.28515625" style="4" customWidth="1"/>
    <col min="30" max="30" width="24.7109375" style="4" customWidth="1"/>
    <col min="31" max="31" width="31" style="4" bestFit="1" customWidth="1"/>
    <col min="32" max="32" width="18.28515625" style="4" customWidth="1"/>
    <col min="33" max="33" width="16.28515625" style="4" customWidth="1"/>
    <col min="34" max="34" width="20.42578125" style="4" customWidth="1"/>
    <col min="35" max="35" width="21.5703125" style="4" customWidth="1"/>
    <col min="36" max="36" width="16.85546875" style="4" customWidth="1"/>
    <col min="37" max="37" width="20.85546875" style="4" customWidth="1"/>
    <col min="38" max="38" width="20.42578125" style="4" customWidth="1"/>
    <col min="39" max="39" width="33.7109375" style="4" customWidth="1"/>
    <col min="40" max="40" width="29.85546875" style="4" customWidth="1"/>
    <col min="41" max="41" width="19.5703125" style="4" customWidth="1"/>
    <col min="42" max="42" width="18.85546875" style="4" customWidth="1"/>
    <col min="43" max="43" width="17.42578125" style="4" customWidth="1"/>
    <col min="44" max="44" width="25.7109375" style="4" customWidth="1"/>
    <col min="45" max="45" width="23" style="4" customWidth="1"/>
    <col min="46" max="16384" width="11.42578125" style="4"/>
  </cols>
  <sheetData>
    <row r="2" spans="2:72" ht="16.5" customHeight="1" x14ac:dyDescent="0.2">
      <c r="B2" s="513" t="s">
        <v>699</v>
      </c>
      <c r="C2" s="513"/>
      <c r="D2" s="513"/>
      <c r="E2" s="513"/>
      <c r="F2" s="514" t="s">
        <v>700</v>
      </c>
      <c r="G2" s="514"/>
      <c r="H2" s="514"/>
      <c r="I2" s="514"/>
      <c r="J2" s="514"/>
      <c r="K2" s="514"/>
      <c r="L2" s="514"/>
      <c r="M2" s="514"/>
      <c r="N2" s="514"/>
      <c r="O2" s="514"/>
      <c r="P2" s="514"/>
      <c r="Q2" s="514"/>
      <c r="R2" s="514"/>
      <c r="S2" s="514"/>
      <c r="T2" s="514"/>
      <c r="U2" s="514"/>
      <c r="V2" s="514"/>
      <c r="W2" s="514"/>
      <c r="X2" s="514"/>
      <c r="Y2" s="514"/>
      <c r="Z2" s="514"/>
      <c r="AA2" s="514"/>
      <c r="AB2" s="514"/>
      <c r="AC2" s="514"/>
      <c r="AD2" s="514"/>
      <c r="AE2" s="514"/>
      <c r="AF2" s="514"/>
      <c r="AG2" s="514"/>
      <c r="AH2" s="514"/>
      <c r="AI2" s="514"/>
      <c r="AJ2" s="514"/>
      <c r="AK2" s="514"/>
      <c r="AL2" s="514"/>
      <c r="AM2" s="514"/>
      <c r="AN2" s="514"/>
      <c r="AO2" s="514"/>
      <c r="AP2" s="514"/>
      <c r="AQ2" s="514"/>
      <c r="AR2" s="514"/>
      <c r="AS2" s="514"/>
      <c r="BF2" s="50"/>
      <c r="BG2" s="50"/>
      <c r="BH2" s="50"/>
      <c r="BI2" s="50"/>
      <c r="BJ2" s="50"/>
      <c r="BK2" s="50"/>
      <c r="BL2" s="50"/>
      <c r="BM2" s="50"/>
      <c r="BN2" s="50"/>
      <c r="BO2" s="50"/>
      <c r="BP2" s="50"/>
      <c r="BQ2" s="50"/>
      <c r="BR2" s="50"/>
      <c r="BS2" s="50"/>
      <c r="BT2" s="50"/>
    </row>
    <row r="3" spans="2:72" ht="24" customHeight="1" x14ac:dyDescent="0.2">
      <c r="B3" s="513"/>
      <c r="C3" s="513"/>
      <c r="D3" s="513"/>
      <c r="E3" s="513"/>
      <c r="F3" s="514"/>
      <c r="G3" s="514"/>
      <c r="H3" s="514"/>
      <c r="I3" s="514"/>
      <c r="J3" s="514"/>
      <c r="K3" s="514"/>
      <c r="L3" s="514"/>
      <c r="M3" s="514"/>
      <c r="N3" s="514"/>
      <c r="O3" s="514"/>
      <c r="P3" s="514"/>
      <c r="Q3" s="514"/>
      <c r="R3" s="514"/>
      <c r="S3" s="514"/>
      <c r="T3" s="514"/>
      <c r="U3" s="514"/>
      <c r="V3" s="514"/>
      <c r="W3" s="514"/>
      <c r="X3" s="514"/>
      <c r="Y3" s="514"/>
      <c r="Z3" s="514"/>
      <c r="AA3" s="514"/>
      <c r="AB3" s="514"/>
      <c r="AC3" s="514"/>
      <c r="AD3" s="514"/>
      <c r="AE3" s="514"/>
      <c r="AF3" s="514"/>
      <c r="AG3" s="514"/>
      <c r="AH3" s="514"/>
      <c r="AI3" s="514"/>
      <c r="AJ3" s="514"/>
      <c r="AK3" s="514"/>
      <c r="AL3" s="514"/>
      <c r="AM3" s="514"/>
      <c r="AN3" s="514"/>
      <c r="AO3" s="514"/>
      <c r="AP3" s="514"/>
      <c r="AQ3" s="514"/>
      <c r="AR3" s="514"/>
      <c r="AS3" s="514"/>
      <c r="BF3" s="50"/>
      <c r="BG3" s="50"/>
      <c r="BH3" s="50"/>
      <c r="BI3" s="50"/>
      <c r="BJ3" s="50"/>
      <c r="BK3" s="50"/>
      <c r="BL3" s="50"/>
      <c r="BM3" s="50"/>
      <c r="BN3" s="50"/>
      <c r="BO3" s="50"/>
      <c r="BP3" s="50"/>
      <c r="BQ3" s="50"/>
      <c r="BR3" s="50"/>
      <c r="BS3" s="50"/>
      <c r="BT3" s="50"/>
    </row>
    <row r="4" spans="2:72" ht="15" customHeight="1" x14ac:dyDescent="0.2">
      <c r="B4" s="515" t="s">
        <v>1608</v>
      </c>
      <c r="C4" s="515"/>
      <c r="D4" s="515"/>
      <c r="E4" s="515"/>
      <c r="F4" s="514" t="s">
        <v>1609</v>
      </c>
      <c r="G4" s="514"/>
      <c r="H4" s="514"/>
      <c r="I4" s="514"/>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4"/>
      <c r="AI4" s="514"/>
      <c r="AJ4" s="514"/>
      <c r="AK4" s="514"/>
      <c r="AL4" s="514"/>
      <c r="AM4" s="514"/>
      <c r="AN4" s="514"/>
      <c r="AO4" s="514"/>
      <c r="AP4" s="514"/>
      <c r="AQ4" s="516">
        <v>45470</v>
      </c>
      <c r="AR4" s="516"/>
      <c r="AS4" s="516"/>
      <c r="BF4" s="50"/>
      <c r="BG4" s="50"/>
      <c r="BH4" s="50"/>
      <c r="BI4" s="50"/>
      <c r="BJ4" s="50"/>
      <c r="BK4" s="50"/>
      <c r="BL4" s="50"/>
      <c r="BM4" s="50"/>
      <c r="BN4" s="50"/>
      <c r="BO4" s="50"/>
      <c r="BP4" s="50"/>
      <c r="BQ4" s="50"/>
      <c r="BR4" s="50"/>
      <c r="BS4" s="50"/>
      <c r="BT4" s="50"/>
    </row>
    <row r="6" spans="2:72" s="3" customFormat="1" ht="24" customHeight="1" x14ac:dyDescent="0.25">
      <c r="B6" s="521" t="s">
        <v>701</v>
      </c>
      <c r="C6" s="521"/>
      <c r="D6" s="521"/>
      <c r="E6" s="521"/>
      <c r="F6" s="521"/>
      <c r="G6" s="521"/>
      <c r="H6" s="521"/>
      <c r="I6" s="521"/>
      <c r="J6" s="521"/>
      <c r="K6" s="521"/>
      <c r="L6" s="521"/>
      <c r="M6" s="521"/>
      <c r="N6" s="522" t="s">
        <v>702</v>
      </c>
      <c r="O6" s="523"/>
      <c r="P6" s="523"/>
      <c r="Q6" s="523"/>
      <c r="R6" s="523"/>
      <c r="S6" s="523"/>
      <c r="T6" s="523"/>
      <c r="U6" s="523"/>
      <c r="V6" s="524" t="s">
        <v>703</v>
      </c>
      <c r="W6" s="525"/>
      <c r="X6" s="525"/>
      <c r="Y6" s="525"/>
      <c r="Z6" s="525"/>
      <c r="AA6" s="525"/>
      <c r="AB6" s="525"/>
      <c r="AC6" s="525"/>
      <c r="AD6" s="525"/>
      <c r="AE6" s="526"/>
      <c r="AF6" s="527" t="s">
        <v>704</v>
      </c>
      <c r="AG6" s="527"/>
      <c r="AH6" s="527"/>
      <c r="AI6" s="527"/>
      <c r="AJ6" s="527"/>
      <c r="AK6" s="527"/>
      <c r="AL6" s="528"/>
      <c r="AM6" s="528"/>
      <c r="AN6" s="529" t="s">
        <v>705</v>
      </c>
      <c r="AO6" s="529"/>
      <c r="AP6" s="529"/>
      <c r="AQ6" s="529"/>
      <c r="AR6" s="529"/>
      <c r="AS6" s="529"/>
    </row>
    <row r="7" spans="2:72" ht="15" customHeight="1" x14ac:dyDescent="0.2">
      <c r="B7" s="517" t="s">
        <v>706</v>
      </c>
      <c r="C7" s="517" t="s">
        <v>707</v>
      </c>
      <c r="D7" s="517" t="s">
        <v>708</v>
      </c>
      <c r="E7" s="517" t="s">
        <v>709</v>
      </c>
      <c r="F7" s="519" t="s">
        <v>710</v>
      </c>
      <c r="G7" s="519" t="s">
        <v>711</v>
      </c>
      <c r="H7" s="532" t="s">
        <v>712</v>
      </c>
      <c r="I7" s="532" t="s">
        <v>713</v>
      </c>
      <c r="J7" s="532" t="s">
        <v>714</v>
      </c>
      <c r="K7" s="532" t="s">
        <v>715</v>
      </c>
      <c r="L7" s="532" t="s">
        <v>716</v>
      </c>
      <c r="M7" s="517" t="s">
        <v>717</v>
      </c>
      <c r="N7" s="533" t="s">
        <v>719</v>
      </c>
      <c r="O7" s="534"/>
      <c r="P7" s="534"/>
      <c r="Q7" s="533" t="s">
        <v>720</v>
      </c>
      <c r="R7" s="534"/>
      <c r="S7" s="534"/>
      <c r="T7" s="533" t="s">
        <v>721</v>
      </c>
      <c r="U7" s="537"/>
      <c r="V7" s="539" t="s">
        <v>722</v>
      </c>
      <c r="W7" s="530" t="s">
        <v>723</v>
      </c>
      <c r="X7" s="530" t="s">
        <v>724</v>
      </c>
      <c r="Y7" s="543" t="s">
        <v>725</v>
      </c>
      <c r="Z7" s="544"/>
      <c r="AA7" s="544"/>
      <c r="AB7" s="544"/>
      <c r="AC7" s="544"/>
      <c r="AD7" s="544"/>
      <c r="AE7" s="545"/>
      <c r="AF7" s="546" t="s">
        <v>719</v>
      </c>
      <c r="AG7" s="547"/>
      <c r="AH7" s="546" t="s">
        <v>720</v>
      </c>
      <c r="AI7" s="547"/>
      <c r="AJ7" s="550" t="s">
        <v>726</v>
      </c>
      <c r="AK7" s="550" t="s">
        <v>727</v>
      </c>
      <c r="AL7" s="550" t="s">
        <v>728</v>
      </c>
      <c r="AM7" s="559" t="s">
        <v>729</v>
      </c>
      <c r="AN7" s="541" t="s">
        <v>705</v>
      </c>
      <c r="AO7" s="541" t="s">
        <v>730</v>
      </c>
      <c r="AP7" s="541" t="s">
        <v>731</v>
      </c>
      <c r="AQ7" s="541" t="s">
        <v>732</v>
      </c>
      <c r="AR7" s="541" t="s">
        <v>733</v>
      </c>
      <c r="AS7" s="541" t="s">
        <v>734</v>
      </c>
    </row>
    <row r="8" spans="2:72" ht="66" customHeight="1" x14ac:dyDescent="0.2">
      <c r="B8" s="518"/>
      <c r="C8" s="518"/>
      <c r="D8" s="518"/>
      <c r="E8" s="518"/>
      <c r="F8" s="520"/>
      <c r="G8" s="520"/>
      <c r="H8" s="517"/>
      <c r="I8" s="517"/>
      <c r="J8" s="517"/>
      <c r="K8" s="517"/>
      <c r="L8" s="517"/>
      <c r="M8" s="518"/>
      <c r="N8" s="535"/>
      <c r="O8" s="536"/>
      <c r="P8" s="536"/>
      <c r="Q8" s="535"/>
      <c r="R8" s="536"/>
      <c r="S8" s="536"/>
      <c r="T8" s="535"/>
      <c r="U8" s="538"/>
      <c r="V8" s="540"/>
      <c r="W8" s="531"/>
      <c r="X8" s="531"/>
      <c r="Y8" s="386" t="s">
        <v>735</v>
      </c>
      <c r="Z8" s="386" t="s">
        <v>736</v>
      </c>
      <c r="AA8" s="386" t="s">
        <v>737</v>
      </c>
      <c r="AB8" s="386" t="s">
        <v>1610</v>
      </c>
      <c r="AC8" s="386" t="s">
        <v>739</v>
      </c>
      <c r="AD8" s="386" t="s">
        <v>740</v>
      </c>
      <c r="AE8" s="386" t="s">
        <v>741</v>
      </c>
      <c r="AF8" s="548"/>
      <c r="AG8" s="549"/>
      <c r="AH8" s="548"/>
      <c r="AI8" s="549"/>
      <c r="AJ8" s="551"/>
      <c r="AK8" s="551"/>
      <c r="AL8" s="551"/>
      <c r="AM8" s="546"/>
      <c r="AN8" s="542"/>
      <c r="AO8" s="542"/>
      <c r="AP8" s="542"/>
      <c r="AQ8" s="542"/>
      <c r="AR8" s="542"/>
      <c r="AS8" s="542"/>
    </row>
    <row r="9" spans="2:72" ht="409.6" customHeight="1" x14ac:dyDescent="0.2">
      <c r="B9" s="28" t="s">
        <v>1611</v>
      </c>
      <c r="C9" s="387" t="s">
        <v>1612</v>
      </c>
      <c r="D9" s="28" t="s">
        <v>1613</v>
      </c>
      <c r="E9" s="39" t="s">
        <v>1614</v>
      </c>
      <c r="F9" s="28" t="s">
        <v>1615</v>
      </c>
      <c r="G9" s="28" t="s">
        <v>1616</v>
      </c>
      <c r="H9" s="28" t="s">
        <v>1617</v>
      </c>
      <c r="I9" s="28" t="s">
        <v>1618</v>
      </c>
      <c r="J9" s="28" t="s">
        <v>1619</v>
      </c>
      <c r="K9" s="28" t="s">
        <v>1620</v>
      </c>
      <c r="L9" s="387" t="s">
        <v>1621</v>
      </c>
      <c r="M9" s="28" t="s">
        <v>1622</v>
      </c>
      <c r="N9" s="28" t="s">
        <v>1623</v>
      </c>
      <c r="O9" s="28" t="s">
        <v>1624</v>
      </c>
      <c r="P9" s="28" t="s">
        <v>1624</v>
      </c>
      <c r="Q9" s="28" t="s">
        <v>1625</v>
      </c>
      <c r="R9" s="28" t="s">
        <v>1626</v>
      </c>
      <c r="S9" s="28" t="s">
        <v>1626</v>
      </c>
      <c r="T9" s="28" t="s">
        <v>1627</v>
      </c>
      <c r="U9" s="28" t="s">
        <v>1628</v>
      </c>
      <c r="V9" s="388" t="s">
        <v>1629</v>
      </c>
      <c r="W9" s="28" t="s">
        <v>1630</v>
      </c>
      <c r="X9" s="28" t="s">
        <v>1631</v>
      </c>
      <c r="Y9" s="28" t="s">
        <v>1632</v>
      </c>
      <c r="Z9" s="28" t="s">
        <v>1633</v>
      </c>
      <c r="AA9" s="28" t="s">
        <v>1634</v>
      </c>
      <c r="AB9" s="28" t="s">
        <v>1635</v>
      </c>
      <c r="AC9" s="28" t="s">
        <v>1636</v>
      </c>
      <c r="AD9" s="28" t="s">
        <v>1637</v>
      </c>
      <c r="AE9" s="28" t="s">
        <v>1638</v>
      </c>
      <c r="AF9" s="28" t="s">
        <v>1639</v>
      </c>
      <c r="AG9" s="28" t="s">
        <v>1624</v>
      </c>
      <c r="AH9" s="28" t="s">
        <v>1639</v>
      </c>
      <c r="AI9" s="28" t="s">
        <v>1626</v>
      </c>
      <c r="AJ9" s="28" t="s">
        <v>1627</v>
      </c>
      <c r="AK9" s="28" t="s">
        <v>1628</v>
      </c>
      <c r="AL9" s="28" t="s">
        <v>1640</v>
      </c>
      <c r="AM9" s="28" t="s">
        <v>1641</v>
      </c>
      <c r="AN9" s="28" t="s">
        <v>1642</v>
      </c>
      <c r="AO9" s="28" t="s">
        <v>1643</v>
      </c>
      <c r="AP9" s="28" t="s">
        <v>1644</v>
      </c>
      <c r="AQ9" s="28" t="s">
        <v>1645</v>
      </c>
      <c r="AR9" s="28" t="s">
        <v>1646</v>
      </c>
      <c r="AS9" s="28" t="s">
        <v>1647</v>
      </c>
    </row>
    <row r="10" spans="2:72" x14ac:dyDescent="0.2">
      <c r="B10" s="389" t="s">
        <v>1648</v>
      </c>
      <c r="C10" s="387"/>
      <c r="D10" s="389"/>
      <c r="E10" s="39"/>
      <c r="F10" s="28"/>
      <c r="G10" s="28"/>
      <c r="H10" s="28"/>
      <c r="I10" s="28"/>
      <c r="J10" s="28"/>
      <c r="K10" s="28"/>
      <c r="L10" s="387"/>
      <c r="M10" s="28"/>
      <c r="N10" s="48"/>
      <c r="O10" s="48"/>
      <c r="P10" s="48"/>
      <c r="Q10" s="389"/>
      <c r="R10" s="389"/>
      <c r="S10" s="389"/>
      <c r="T10" s="389"/>
      <c r="U10" s="389"/>
      <c r="V10" s="390"/>
      <c r="W10" s="389"/>
      <c r="X10" s="389"/>
      <c r="Y10" s="391"/>
      <c r="Z10" s="391"/>
      <c r="AA10" s="391"/>
      <c r="AB10" s="391"/>
      <c r="AC10" s="391"/>
      <c r="AD10" s="391"/>
      <c r="AE10" s="340"/>
      <c r="AF10" s="389"/>
      <c r="AG10" s="389"/>
      <c r="AH10" s="389"/>
      <c r="AI10" s="389"/>
      <c r="AJ10" s="389"/>
      <c r="AK10" s="389"/>
      <c r="AL10" s="389"/>
      <c r="AM10" s="389"/>
      <c r="AN10" s="389"/>
      <c r="AO10" s="389"/>
      <c r="AP10" s="389"/>
      <c r="AQ10" s="389"/>
      <c r="AR10" s="389"/>
      <c r="AS10" s="389"/>
    </row>
    <row r="11" spans="2:72" s="30" customFormat="1" ht="81" customHeight="1" x14ac:dyDescent="0.25">
      <c r="B11" s="553" t="s">
        <v>792</v>
      </c>
      <c r="C11" s="554" t="s">
        <v>793</v>
      </c>
      <c r="D11" s="556" t="s">
        <v>794</v>
      </c>
      <c r="E11" s="557" t="s">
        <v>795</v>
      </c>
      <c r="F11" s="557" t="s">
        <v>1649</v>
      </c>
      <c r="G11" s="558" t="s">
        <v>796</v>
      </c>
      <c r="H11" s="556" t="s">
        <v>747</v>
      </c>
      <c r="I11" s="556" t="s">
        <v>748</v>
      </c>
      <c r="J11" s="553" t="s">
        <v>749</v>
      </c>
      <c r="K11" s="556" t="s">
        <v>750</v>
      </c>
      <c r="L11" s="560" t="s">
        <v>751</v>
      </c>
      <c r="M11" s="561" t="s">
        <v>752</v>
      </c>
      <c r="N11" s="556">
        <v>1500</v>
      </c>
      <c r="O11" s="552" t="str">
        <f>IF(N11&lt;=0,"",IF(N11&lt;=2,"Muy Baja",IF(N11&lt;=24,"Baja",IF(N11&lt;=500,"Media",IF(N11&lt;=5000,"Alta","Muy Alta")))))</f>
        <v>Alta</v>
      </c>
      <c r="P11" s="565">
        <f>+VLOOKUP(O11,[1]Probabilidad!$B$5:$C$9,2,FALSE)</f>
        <v>0.8</v>
      </c>
      <c r="Q11" s="553" t="s">
        <v>753</v>
      </c>
      <c r="R11" s="552" t="str">
        <f>+VLOOKUP(Q11,[1]Impacto!$D$6:$G$10,3,FALSE)</f>
        <v>Mayor</v>
      </c>
      <c r="S11" s="565">
        <f>+VLOOKUP(Q11,[1]Impacto!$D$6:$G$10,4,FALSE)</f>
        <v>0.8</v>
      </c>
      <c r="T11" s="565">
        <f>+P11*S11</f>
        <v>0.64000000000000012</v>
      </c>
      <c r="U11" s="515" t="str">
        <f>+IF(T11&lt;=8%,"Bajo",IF(AND(T11&gt;=12%,T11&lt;=36%),"Moderado",IF(AND(T11&gt;=40%,T11&lt;=64%),"Alto",IF(T11&gt;64%,"Extremo",""))))</f>
        <v>Alto</v>
      </c>
      <c r="V11" s="26">
        <v>1</v>
      </c>
      <c r="W11" s="38" t="s">
        <v>797</v>
      </c>
      <c r="X11" s="35" t="str">
        <f>IF(OR(Y11="Preventivo",Y11="Detectivo"),"Probabilidad",IF(Y11="Correctivo","Impacto",""))</f>
        <v>Probabilidad</v>
      </c>
      <c r="Y11" s="42" t="s">
        <v>755</v>
      </c>
      <c r="Z11" s="42" t="s">
        <v>756</v>
      </c>
      <c r="AA11" s="43" t="str">
        <f t="shared" ref="AA11:AA12" si="0">IF(AND(Y11="Preventivo",Z11="Automático"),"50%",IF(AND(Y11="Preventivo",Z11="Manual"),"40%",IF(AND(Y11="Detectivo",Z11="Automático"),"40%",IF(AND(Y11="Detectivo",Z11="Manual"),"30%",IF(AND(Y11="Correctivo",Z11="Automático"),"35%",IF(AND(Y11="Correctivo",Z11="Manual"),"25%",""))))))</f>
        <v>40%</v>
      </c>
      <c r="AB11" s="42" t="s">
        <v>738</v>
      </c>
      <c r="AC11" s="42" t="s">
        <v>757</v>
      </c>
      <c r="AD11" s="42" t="s">
        <v>758</v>
      </c>
      <c r="AE11" s="38" t="s">
        <v>1556</v>
      </c>
      <c r="AF11" s="392">
        <f>IFERROR(IF(X11="Probabilidad",(P11-(P11*AA11)),IF(X11="Impacto",P11,"")),"")</f>
        <v>0.48</v>
      </c>
      <c r="AG11" s="37" t="str">
        <f t="shared" ref="AG11:AG12" si="1">IFERROR(IF(AF11="","",IF(AF11&lt;=0.2,"Muy Baja",IF(AF11&lt;=0.4,"Baja",IF(AF11&lt;=0.6,"Media",IF(AF11&lt;=0.8,"Alta","Muy Alta"))))),"")</f>
        <v>Media</v>
      </c>
      <c r="AH11" s="392">
        <f>IFERROR(IF(X11="Impacto",(S11-(S11*AA11)),IF(X11="Probabilidad",S11,"")),"")</f>
        <v>0.8</v>
      </c>
      <c r="AI11" s="37" t="str">
        <f t="shared" ref="AI11:AI12" si="2">IFERROR(IF(AH11="","",IF(AH11&lt;=0.2,"Leve",IF(AH11&lt;=0.4,"Menor",IF(AH11&lt;=0.6,"Moderado",IF(AH11&lt;=0.8,"Mayor","Catastrófico"))))),"")</f>
        <v>Mayor</v>
      </c>
      <c r="AJ11" s="36">
        <f t="shared" ref="AJ11:AJ12" si="3">+AF11*AH11</f>
        <v>0.38400000000000001</v>
      </c>
      <c r="AK11" s="37" t="str">
        <f>+IF(AJ11&lt;=11%,"Bajo",IF(AND(AJ11&gt;=12%,AJ11&lt;=39%),"Moderado",IF(AND(AJ11&gt;=40%,AJ11&lt;=64%),"Alto",IF(AJ11&gt;64%,"Extremo",""))))</f>
        <v>Moderado</v>
      </c>
      <c r="AL11" s="562" t="str">
        <f>+AK12</f>
        <v>Moderado</v>
      </c>
      <c r="AM11" s="563" t="s">
        <v>1271</v>
      </c>
      <c r="AN11" s="45"/>
      <c r="AO11" s="26"/>
      <c r="AP11" s="26"/>
      <c r="AQ11" s="26"/>
      <c r="AR11" s="26"/>
      <c r="AS11" s="26"/>
    </row>
    <row r="12" spans="2:72" s="30" customFormat="1" ht="81" customHeight="1" x14ac:dyDescent="0.25">
      <c r="B12" s="553"/>
      <c r="C12" s="555"/>
      <c r="D12" s="556"/>
      <c r="E12" s="557"/>
      <c r="F12" s="557"/>
      <c r="G12" s="558"/>
      <c r="H12" s="556"/>
      <c r="I12" s="556"/>
      <c r="J12" s="556"/>
      <c r="K12" s="556"/>
      <c r="L12" s="560"/>
      <c r="M12" s="561"/>
      <c r="N12" s="556"/>
      <c r="O12" s="552"/>
      <c r="P12" s="565"/>
      <c r="Q12" s="553"/>
      <c r="R12" s="552"/>
      <c r="S12" s="565"/>
      <c r="T12" s="565"/>
      <c r="U12" s="515"/>
      <c r="V12" s="26">
        <v>2</v>
      </c>
      <c r="W12" s="38" t="s">
        <v>798</v>
      </c>
      <c r="X12" s="35" t="str">
        <f>IF(OR(Y12="Preventivo",Y12="Detectivo"),"Probabilidad",IF(Y12="Correctivo","Impacto",""))</f>
        <v>Probabilidad</v>
      </c>
      <c r="Y12" s="42" t="s">
        <v>755</v>
      </c>
      <c r="Z12" s="42" t="s">
        <v>756</v>
      </c>
      <c r="AA12" s="43" t="str">
        <f t="shared" si="0"/>
        <v>40%</v>
      </c>
      <c r="AB12" s="42" t="s">
        <v>738</v>
      </c>
      <c r="AC12" s="42" t="s">
        <v>757</v>
      </c>
      <c r="AD12" s="42" t="s">
        <v>758</v>
      </c>
      <c r="AE12" s="38" t="s">
        <v>1557</v>
      </c>
      <c r="AF12" s="392">
        <f>IFERROR(IF(AND(X11="Probabilidad",X12="Probabilidad"),(AF11-(+AF11*AA12)),IF(X12="Probabilidad",(#REF!-(+#REF!*AA12)),IF(X12="Impacto",AF11,""))),"")</f>
        <v>0.28799999999999998</v>
      </c>
      <c r="AG12" s="37" t="str">
        <f t="shared" si="1"/>
        <v>Baja</v>
      </c>
      <c r="AH12" s="392">
        <f>IFERROR(IF(AND(X11="Impacto",X12="Impacto"),(AH11-(+AH11*AA12)),IF(X12="Impacto",(T11-(+T11*AA12)),IF(X12="Probabilidad",AH11,""))),"")</f>
        <v>0.8</v>
      </c>
      <c r="AI12" s="37" t="str">
        <f t="shared" si="2"/>
        <v>Mayor</v>
      </c>
      <c r="AJ12" s="36">
        <f t="shared" si="3"/>
        <v>0.23039999999999999</v>
      </c>
      <c r="AK12" s="37" t="str">
        <f t="shared" ref="AK12" si="4">+IF(AJ12&lt;=11%,"Bajo",IF(AND(AJ12&gt;=12%,AJ12&lt;=36%),"Moderado",IF(AND(AJ12&gt;=40%,AJ12&lt;=64%),"Alto",IF(AJ12&gt;64%,"Extremo",""))))</f>
        <v>Moderado</v>
      </c>
      <c r="AL12" s="562"/>
      <c r="AM12" s="564"/>
      <c r="AN12" s="45"/>
      <c r="AO12" s="26"/>
      <c r="AP12" s="26"/>
      <c r="AQ12" s="26"/>
      <c r="AR12" s="26"/>
      <c r="AS12" s="26"/>
    </row>
  </sheetData>
  <mergeCells count="64">
    <mergeCell ref="AL11:AL12"/>
    <mergeCell ref="AM11:AM12"/>
    <mergeCell ref="P11:P12"/>
    <mergeCell ref="Q11:Q12"/>
    <mergeCell ref="R11:R12"/>
    <mergeCell ref="S11:S12"/>
    <mergeCell ref="T11:T12"/>
    <mergeCell ref="U11:U12"/>
    <mergeCell ref="J11:J12"/>
    <mergeCell ref="K11:K12"/>
    <mergeCell ref="L11:L12"/>
    <mergeCell ref="M11:M12"/>
    <mergeCell ref="N11:N12"/>
    <mergeCell ref="O11:O12"/>
    <mergeCell ref="AR7:AR8"/>
    <mergeCell ref="AS7:AS8"/>
    <mergeCell ref="B11:B12"/>
    <mergeCell ref="C11:C12"/>
    <mergeCell ref="D11:D12"/>
    <mergeCell ref="E11:E12"/>
    <mergeCell ref="F11:F12"/>
    <mergeCell ref="G11:G12"/>
    <mergeCell ref="H11:H12"/>
    <mergeCell ref="I11:I12"/>
    <mergeCell ref="AL7:AL8"/>
    <mergeCell ref="AM7:AM8"/>
    <mergeCell ref="AN7:AN8"/>
    <mergeCell ref="AO7:AO8"/>
    <mergeCell ref="AP7:AP8"/>
    <mergeCell ref="AQ7:AQ8"/>
    <mergeCell ref="X7:X8"/>
    <mergeCell ref="Y7:AE7"/>
    <mergeCell ref="AF7:AG8"/>
    <mergeCell ref="AH7:AI8"/>
    <mergeCell ref="AJ7:AJ8"/>
    <mergeCell ref="AK7:AK8"/>
    <mergeCell ref="W7:W8"/>
    <mergeCell ref="G7:G8"/>
    <mergeCell ref="H7:H8"/>
    <mergeCell ref="I7:I8"/>
    <mergeCell ref="J7:J8"/>
    <mergeCell ref="K7:K8"/>
    <mergeCell ref="L7:L8"/>
    <mergeCell ref="M7:M8"/>
    <mergeCell ref="N7:P8"/>
    <mergeCell ref="Q7:S8"/>
    <mergeCell ref="T7:U8"/>
    <mergeCell ref="V7:V8"/>
    <mergeCell ref="B6:M6"/>
    <mergeCell ref="N6:U6"/>
    <mergeCell ref="V6:AE6"/>
    <mergeCell ref="AF6:AM6"/>
    <mergeCell ref="AN6:AS6"/>
    <mergeCell ref="B7:B8"/>
    <mergeCell ref="C7:C8"/>
    <mergeCell ref="D7:D8"/>
    <mergeCell ref="E7:E8"/>
    <mergeCell ref="F7:F8"/>
    <mergeCell ref="B2:E3"/>
    <mergeCell ref="F2:AP3"/>
    <mergeCell ref="AQ2:AS3"/>
    <mergeCell ref="B4:E4"/>
    <mergeCell ref="F4:AP4"/>
    <mergeCell ref="AQ4:AS4"/>
  </mergeCells>
  <conditionalFormatting sqref="O11:O12">
    <cfRule type="containsText" dxfId="145" priority="19" operator="containsText" text="Muy Alta">
      <formula>NOT(ISERROR(SEARCH("Muy Alta",O11)))</formula>
    </cfRule>
    <cfRule type="containsText" dxfId="144" priority="20" operator="containsText" text="Muy baja">
      <formula>NOT(ISERROR(SEARCH("Muy baja",O11)))</formula>
    </cfRule>
    <cfRule type="containsText" dxfId="143" priority="21" operator="containsText" text="Baja">
      <formula>NOT(ISERROR(SEARCH("Baja",O11)))</formula>
    </cfRule>
    <cfRule type="containsText" dxfId="142" priority="22" operator="containsText" text="Media">
      <formula>NOT(ISERROR(SEARCH("Media",O11)))</formula>
    </cfRule>
    <cfRule type="containsText" dxfId="141" priority="23" operator="containsText" text="Alta">
      <formula>NOT(ISERROR(SEARCH("Alta",O11)))</formula>
    </cfRule>
  </conditionalFormatting>
  <conditionalFormatting sqref="P1 P13:P1048576">
    <cfRule type="containsText" dxfId="140" priority="51" operator="containsText" text="Muy Alta">
      <formula>NOT(ISERROR(SEARCH("Muy Alta",P1)))</formula>
    </cfRule>
  </conditionalFormatting>
  <conditionalFormatting sqref="P5:P8">
    <cfRule type="containsText" dxfId="139" priority="42" operator="containsText" text="Muy Alta">
      <formula>NOT(ISERROR(SEARCH("Muy Alta",P5)))</formula>
    </cfRule>
  </conditionalFormatting>
  <conditionalFormatting sqref="R11:R12">
    <cfRule type="containsText" dxfId="138" priority="24" operator="containsText" text="Catastrófico">
      <formula>NOT(ISERROR(SEARCH("Catastrófico",R11)))</formula>
    </cfRule>
    <cfRule type="containsText" dxfId="137" priority="25" operator="containsText" text="Leve">
      <formula>NOT(ISERROR(SEARCH("Leve",R11)))</formula>
    </cfRule>
    <cfRule type="containsText" dxfId="136" priority="26" operator="containsText" text="Menor">
      <formula>NOT(ISERROR(SEARCH("Menor",R11)))</formula>
    </cfRule>
    <cfRule type="containsText" dxfId="135" priority="27" operator="containsText" text="Moderado">
      <formula>NOT(ISERROR(SEARCH("Moderado",R11)))</formula>
    </cfRule>
    <cfRule type="containsText" dxfId="134" priority="28" operator="containsText" text="Mayor">
      <formula>NOT(ISERROR(SEARCH("Mayor",R11)))</formula>
    </cfRule>
  </conditionalFormatting>
  <conditionalFormatting sqref="U1 U13:U1048576">
    <cfRule type="containsText" dxfId="133" priority="49" operator="containsText" text="Medio">
      <formula>NOT(ISERROR(SEARCH("Medio",U1)))</formula>
    </cfRule>
    <cfRule type="containsText" dxfId="132" priority="50" operator="containsText" text="Bajo">
      <formula>NOT(ISERROR(SEARCH("Bajo",U1)))</formula>
    </cfRule>
  </conditionalFormatting>
  <conditionalFormatting sqref="U1">
    <cfRule type="containsText" dxfId="131" priority="47" operator="containsText" text="Extremo">
      <formula>NOT(ISERROR(SEARCH("Extremo",U1)))</formula>
    </cfRule>
    <cfRule type="containsText" dxfId="130" priority="48" operator="containsText" text="Alto">
      <formula>NOT(ISERROR(SEARCH("Alto",U1)))</formula>
    </cfRule>
  </conditionalFormatting>
  <conditionalFormatting sqref="U5:U10">
    <cfRule type="containsText" dxfId="129" priority="40" operator="containsText" text="Medio">
      <formula>NOT(ISERROR(SEARCH("Medio",U5)))</formula>
    </cfRule>
    <cfRule type="containsText" dxfId="128" priority="41" operator="containsText" text="Bajo">
      <formula>NOT(ISERROR(SEARCH("Bajo",U5)))</formula>
    </cfRule>
  </conditionalFormatting>
  <conditionalFormatting sqref="U5:U1048576">
    <cfRule type="containsText" dxfId="127" priority="29" operator="containsText" text="Extremo">
      <formula>NOT(ISERROR(SEARCH("Extremo",U5)))</formula>
    </cfRule>
    <cfRule type="containsText" dxfId="126" priority="30" operator="containsText" text="Alto">
      <formula>NOT(ISERROR(SEARCH("Alto",U5)))</formula>
    </cfRule>
  </conditionalFormatting>
  <conditionalFormatting sqref="U11:U12">
    <cfRule type="containsText" dxfId="125" priority="31" operator="containsText" text="Moderado">
      <formula>NOT(ISERROR(SEARCH("Moderado",U11)))</formula>
    </cfRule>
    <cfRule type="containsText" dxfId="124" priority="32" operator="containsText" text="Bajo">
      <formula>NOT(ISERROR(SEARCH("Bajo",U11)))</formula>
    </cfRule>
  </conditionalFormatting>
  <conditionalFormatting sqref="AG11:AG12">
    <cfRule type="cellIs" dxfId="123" priority="6" operator="equal">
      <formula>"Muy Alta"</formula>
    </cfRule>
    <cfRule type="cellIs" dxfId="122" priority="7" operator="equal">
      <formula>"Alta"</formula>
    </cfRule>
    <cfRule type="cellIs" dxfId="121" priority="8" operator="equal">
      <formula>"Media"</formula>
    </cfRule>
    <cfRule type="cellIs" dxfId="120" priority="9" operator="equal">
      <formula>"Baja"</formula>
    </cfRule>
    <cfRule type="cellIs" dxfId="119" priority="10" operator="equal">
      <formula>"Muy Baja"</formula>
    </cfRule>
  </conditionalFormatting>
  <conditionalFormatting sqref="AI11:AI12">
    <cfRule type="cellIs" dxfId="118" priority="1" operator="equal">
      <formula>"Catastrófico"</formula>
    </cfRule>
    <cfRule type="cellIs" dxfId="117" priority="2" operator="equal">
      <formula>"Mayor"</formula>
    </cfRule>
    <cfRule type="cellIs" dxfId="116" priority="3" operator="equal">
      <formula>"Menor"</formula>
    </cfRule>
    <cfRule type="cellIs" dxfId="115" priority="4" operator="equal">
      <formula>"Leve"</formula>
    </cfRule>
    <cfRule type="cellIs" dxfId="114" priority="5" operator="equal">
      <formula>"Moderado"</formula>
    </cfRule>
  </conditionalFormatting>
  <conditionalFormatting sqref="AK1">
    <cfRule type="containsText" dxfId="113" priority="43" operator="containsText" text="Bajo">
      <formula>NOT(ISERROR(SEARCH("Bajo",AK1)))</formula>
    </cfRule>
    <cfRule type="containsText" dxfId="112" priority="44" operator="containsText" text="Medio">
      <formula>NOT(ISERROR(SEARCH("Medio",AK1)))</formula>
    </cfRule>
    <cfRule type="containsText" dxfId="111" priority="45" operator="containsText" text="Alto">
      <formula>NOT(ISERROR(SEARCH("Alto",AK1)))</formula>
    </cfRule>
    <cfRule type="containsText" dxfId="110" priority="46" operator="containsText" text="Extremo">
      <formula>NOT(ISERROR(SEARCH("Extremo",AK1)))</formula>
    </cfRule>
  </conditionalFormatting>
  <conditionalFormatting sqref="AK5:AK8 AK10 AK13:AK1048576">
    <cfRule type="containsText" dxfId="109" priority="37" operator="containsText" text="Medio">
      <formula>NOT(ISERROR(SEARCH("Medio",AK5)))</formula>
    </cfRule>
    <cfRule type="containsText" dxfId="108" priority="38" operator="containsText" text="Alto">
      <formula>NOT(ISERROR(SEARCH("Alto",AK5)))</formula>
    </cfRule>
    <cfRule type="containsText" dxfId="107" priority="39" operator="containsText" text="Extremo">
      <formula>NOT(ISERROR(SEARCH("Extremo",AK5)))</formula>
    </cfRule>
  </conditionalFormatting>
  <conditionalFormatting sqref="AK5:AK10 AK13:AK1048576">
    <cfRule type="containsText" dxfId="106" priority="36" operator="containsText" text="Bajo">
      <formula>NOT(ISERROR(SEARCH("Bajo",AK5)))</formula>
    </cfRule>
  </conditionalFormatting>
  <conditionalFormatting sqref="AK9">
    <cfRule type="containsText" dxfId="105" priority="33" operator="containsText" text="Extremo">
      <formula>NOT(ISERROR(SEARCH("Extremo",AK9)))</formula>
    </cfRule>
    <cfRule type="containsText" dxfId="104" priority="34" operator="containsText" text="Alto">
      <formula>NOT(ISERROR(SEARCH("Alto",AK9)))</formula>
    </cfRule>
    <cfRule type="containsText" dxfId="103" priority="35" operator="containsText" text="Medio">
      <formula>NOT(ISERROR(SEARCH("Medio",AK9)))</formula>
    </cfRule>
  </conditionalFormatting>
  <conditionalFormatting sqref="AK11:AK12">
    <cfRule type="cellIs" dxfId="102" priority="11" operator="equal">
      <formula>"Extremo"</formula>
    </cfRule>
    <cfRule type="cellIs" dxfId="101" priority="12" operator="equal">
      <formula>"Bajo"</formula>
    </cfRule>
    <cfRule type="cellIs" dxfId="100" priority="13" operator="equal">
      <formula>"Moderado"</formula>
    </cfRule>
    <cfRule type="containsText" dxfId="99" priority="18" operator="containsText" text="Alto">
      <formula>NOT(ISERROR(SEARCH("Alto",AK11)))</formula>
    </cfRule>
  </conditionalFormatting>
  <conditionalFormatting sqref="AL11">
    <cfRule type="cellIs" dxfId="98" priority="14" operator="equal">
      <formula>"Extremo"</formula>
    </cfRule>
    <cfRule type="cellIs" dxfId="97" priority="15" operator="equal">
      <formula>"Bajo"</formula>
    </cfRule>
    <cfRule type="cellIs" dxfId="96" priority="16" operator="equal">
      <formula>"Moderado"</formula>
    </cfRule>
    <cfRule type="containsText" dxfId="95" priority="17" operator="containsText" text="Alto">
      <formula>NOT(ISERROR(SEARCH("Alto",AL11)))</formula>
    </cfRule>
  </conditionalFormatting>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5922F2-E869-4944-BE27-CB100E14F673}">
  <sheetPr codeName="Hoja2"/>
  <dimension ref="A2:AT174"/>
  <sheetViews>
    <sheetView tabSelected="1" topLeftCell="B6" zoomScale="70" zoomScaleNormal="70" workbookViewId="0">
      <pane xSplit="3" ySplit="3" topLeftCell="W9" activePane="bottomRight" state="frozen"/>
      <selection activeCell="B6" sqref="B6"/>
      <selection pane="topRight" activeCell="E6" sqref="E6"/>
      <selection pane="bottomLeft" activeCell="B9" sqref="B9"/>
      <selection pane="bottomRight" activeCell="AN10" sqref="AN10"/>
    </sheetView>
  </sheetViews>
  <sheetFormatPr baseColWidth="10" defaultColWidth="11.42578125" defaultRowHeight="15" x14ac:dyDescent="0.25"/>
  <cols>
    <col min="1" max="1" width="10.7109375" customWidth="1"/>
    <col min="2" max="2" width="19" style="348" customWidth="1"/>
    <col min="3" max="3" width="17.42578125" style="348" customWidth="1"/>
    <col min="4" max="4" width="14.85546875" customWidth="1"/>
    <col min="5" max="5" width="42" style="4" customWidth="1"/>
    <col min="6" max="6" width="49.5703125" customWidth="1"/>
    <col min="7" max="7" width="28.85546875" hidden="1" customWidth="1"/>
    <col min="8" max="8" width="16.140625" style="348" hidden="1" customWidth="1"/>
    <col min="9" max="9" width="17.140625" style="348" hidden="1" customWidth="1"/>
    <col min="10" max="10" width="16.140625" hidden="1" customWidth="1"/>
    <col min="11" max="11" width="16.42578125" hidden="1" customWidth="1"/>
    <col min="12" max="12" width="17.28515625" hidden="1" customWidth="1"/>
    <col min="13" max="13" width="15" hidden="1" customWidth="1"/>
    <col min="14" max="14" width="13.140625" hidden="1" customWidth="1"/>
    <col min="15" max="15" width="0" style="372" hidden="1" customWidth="1"/>
    <col min="16" max="16" width="0" style="22" hidden="1" customWidth="1"/>
    <col min="17" max="17" width="23.42578125" hidden="1" customWidth="1"/>
    <col min="18" max="18" width="16.28515625" style="373" hidden="1" customWidth="1"/>
    <col min="19" max="20" width="0" style="22" hidden="1" customWidth="1"/>
    <col min="21" max="21" width="0" style="372" hidden="1" customWidth="1"/>
    <col min="22" max="22" width="4.5703125" hidden="1" customWidth="1"/>
    <col min="23" max="23" width="62" customWidth="1"/>
    <col min="24" max="24" width="13.42578125" hidden="1" customWidth="1"/>
    <col min="25" max="30" width="4.85546875" hidden="1" customWidth="1"/>
    <col min="31" max="31" width="50.7109375" customWidth="1"/>
    <col min="32" max="32" width="11.42578125" style="374"/>
    <col min="34" max="34" width="11.42578125" style="374"/>
    <col min="35" max="35" width="14.42578125" customWidth="1"/>
    <col min="37" max="37" width="17.5703125" style="341" customWidth="1"/>
    <col min="38" max="38" width="12.5703125" style="341" customWidth="1"/>
    <col min="39" max="39" width="22.28515625" customWidth="1"/>
    <col min="40" max="40" width="23" customWidth="1"/>
    <col min="41" max="41" width="14.140625" bestFit="1" customWidth="1"/>
  </cols>
  <sheetData>
    <row r="2" spans="1:45" s="2" customFormat="1" ht="16.5" customHeight="1" x14ac:dyDescent="0.2">
      <c r="A2" s="1"/>
      <c r="B2" s="631" t="s">
        <v>699</v>
      </c>
      <c r="C2" s="632"/>
      <c r="D2" s="632"/>
      <c r="E2" s="632"/>
      <c r="F2" s="635" t="s">
        <v>700</v>
      </c>
      <c r="G2" s="635"/>
      <c r="H2" s="635"/>
      <c r="I2" s="635"/>
      <c r="J2" s="635"/>
      <c r="K2" s="635"/>
      <c r="L2" s="635"/>
      <c r="M2" s="635"/>
      <c r="N2" s="635"/>
      <c r="O2" s="635"/>
      <c r="P2" s="635"/>
      <c r="Q2" s="635"/>
      <c r="R2" s="635"/>
      <c r="S2" s="635"/>
      <c r="T2" s="635"/>
      <c r="U2" s="635"/>
      <c r="V2" s="635"/>
      <c r="W2" s="635"/>
      <c r="X2" s="635"/>
      <c r="Y2" s="635"/>
      <c r="Z2" s="635"/>
      <c r="AA2" s="635"/>
      <c r="AB2" s="635"/>
      <c r="AC2" s="635"/>
      <c r="AD2" s="635"/>
      <c r="AE2" s="635"/>
      <c r="AF2" s="635"/>
      <c r="AG2" s="635"/>
      <c r="AH2" s="635"/>
      <c r="AI2" s="635"/>
      <c r="AJ2" s="635"/>
      <c r="AK2" s="635"/>
      <c r="AL2" s="635"/>
      <c r="AM2" s="635"/>
      <c r="AN2" s="635"/>
      <c r="AO2" s="635"/>
      <c r="AP2" s="635"/>
      <c r="AQ2" s="635"/>
      <c r="AR2" s="635"/>
      <c r="AS2" s="635"/>
    </row>
    <row r="3" spans="1:45" s="2" customFormat="1" ht="24" customHeight="1" x14ac:dyDescent="0.2">
      <c r="A3" s="1"/>
      <c r="B3" s="633"/>
      <c r="C3" s="634"/>
      <c r="D3" s="634"/>
      <c r="E3" s="634"/>
      <c r="F3" s="635"/>
      <c r="G3" s="635"/>
      <c r="H3" s="635"/>
      <c r="I3" s="635"/>
      <c r="J3" s="635"/>
      <c r="K3" s="635"/>
      <c r="L3" s="635"/>
      <c r="M3" s="635"/>
      <c r="N3" s="635"/>
      <c r="O3" s="635"/>
      <c r="P3" s="635"/>
      <c r="Q3" s="635"/>
      <c r="R3" s="635"/>
      <c r="S3" s="635"/>
      <c r="T3" s="635"/>
      <c r="U3" s="635"/>
      <c r="V3" s="635"/>
      <c r="W3" s="635"/>
      <c r="X3" s="635"/>
      <c r="Y3" s="635"/>
      <c r="Z3" s="635"/>
      <c r="AA3" s="635"/>
      <c r="AB3" s="635"/>
      <c r="AC3" s="635"/>
      <c r="AD3" s="635"/>
      <c r="AE3" s="635"/>
      <c r="AF3" s="635"/>
      <c r="AG3" s="635"/>
      <c r="AH3" s="635"/>
      <c r="AI3" s="635"/>
      <c r="AJ3" s="635"/>
      <c r="AK3" s="635"/>
      <c r="AL3" s="635"/>
      <c r="AM3" s="635"/>
      <c r="AN3" s="635"/>
      <c r="AO3" s="635"/>
      <c r="AP3" s="635"/>
      <c r="AQ3" s="635"/>
      <c r="AR3" s="635"/>
      <c r="AS3" s="635"/>
    </row>
    <row r="4" spans="1:45" s="2" customFormat="1" ht="15" customHeight="1" x14ac:dyDescent="0.2">
      <c r="A4" s="1"/>
      <c r="B4" s="636" t="s">
        <v>1608</v>
      </c>
      <c r="C4" s="637"/>
      <c r="D4" s="637"/>
      <c r="E4" s="637"/>
      <c r="F4" s="514" t="s">
        <v>1609</v>
      </c>
      <c r="G4" s="514"/>
      <c r="H4" s="514"/>
      <c r="I4" s="514"/>
      <c r="J4" s="514"/>
      <c r="K4" s="514"/>
      <c r="L4" s="514"/>
      <c r="M4" s="514"/>
      <c r="N4" s="514"/>
      <c r="O4" s="514"/>
      <c r="P4" s="514"/>
      <c r="Q4" s="514"/>
      <c r="R4" s="514"/>
      <c r="S4" s="514"/>
      <c r="T4" s="514"/>
      <c r="U4" s="514"/>
      <c r="V4" s="514"/>
      <c r="W4" s="514"/>
      <c r="X4" s="514"/>
      <c r="Y4" s="514"/>
      <c r="Z4" s="514"/>
      <c r="AA4" s="514"/>
      <c r="AB4" s="514"/>
      <c r="AC4" s="514"/>
      <c r="AD4" s="514"/>
      <c r="AE4" s="514"/>
      <c r="AF4" s="514"/>
      <c r="AG4" s="514"/>
      <c r="AH4" s="514"/>
      <c r="AI4" s="514"/>
      <c r="AJ4" s="514"/>
      <c r="AK4" s="514"/>
      <c r="AL4" s="514"/>
      <c r="AM4" s="514"/>
      <c r="AN4" s="638">
        <v>45470</v>
      </c>
      <c r="AO4" s="514"/>
      <c r="AP4" s="514"/>
      <c r="AQ4" s="514"/>
      <c r="AR4" s="514"/>
      <c r="AS4" s="514"/>
    </row>
    <row r="6" spans="1:45" s="3" customFormat="1" ht="24" customHeight="1" x14ac:dyDescent="0.25">
      <c r="B6" s="617" t="s">
        <v>701</v>
      </c>
      <c r="C6" s="618"/>
      <c r="D6" s="618"/>
      <c r="E6" s="618"/>
      <c r="F6" s="618"/>
      <c r="G6" s="618"/>
      <c r="H6" s="618"/>
      <c r="I6" s="618"/>
      <c r="J6" s="618"/>
      <c r="K6" s="618"/>
      <c r="L6" s="618"/>
      <c r="M6" s="619"/>
      <c r="N6" s="522" t="s">
        <v>702</v>
      </c>
      <c r="O6" s="523"/>
      <c r="P6" s="523"/>
      <c r="Q6" s="523"/>
      <c r="R6" s="523"/>
      <c r="S6" s="523"/>
      <c r="T6" s="523"/>
      <c r="U6" s="627"/>
      <c r="V6" s="524" t="s">
        <v>703</v>
      </c>
      <c r="W6" s="620"/>
      <c r="X6" s="620"/>
      <c r="Y6" s="620"/>
      <c r="Z6" s="620"/>
      <c r="AA6" s="620"/>
      <c r="AB6" s="620"/>
      <c r="AC6" s="620"/>
      <c r="AD6" s="620"/>
      <c r="AE6" s="621"/>
      <c r="AF6" s="528" t="s">
        <v>704</v>
      </c>
      <c r="AG6" s="622"/>
      <c r="AH6" s="622"/>
      <c r="AI6" s="622"/>
      <c r="AJ6" s="622"/>
      <c r="AK6" s="622"/>
      <c r="AL6" s="622"/>
      <c r="AM6" s="623"/>
      <c r="AN6" s="624" t="s">
        <v>705</v>
      </c>
      <c r="AO6" s="625"/>
      <c r="AP6" s="625"/>
      <c r="AQ6" s="625"/>
      <c r="AR6" s="625"/>
      <c r="AS6" s="626"/>
    </row>
    <row r="7" spans="1:45" s="4" customFormat="1" ht="15" customHeight="1" x14ac:dyDescent="0.2">
      <c r="B7" s="517" t="s">
        <v>706</v>
      </c>
      <c r="C7" s="517" t="s">
        <v>707</v>
      </c>
      <c r="D7" s="517" t="s">
        <v>708</v>
      </c>
      <c r="E7" s="517" t="s">
        <v>709</v>
      </c>
      <c r="F7" s="519" t="s">
        <v>710</v>
      </c>
      <c r="G7" s="519" t="s">
        <v>711</v>
      </c>
      <c r="H7" s="517" t="s">
        <v>712</v>
      </c>
      <c r="I7" s="517" t="s">
        <v>713</v>
      </c>
      <c r="J7" s="517" t="s">
        <v>714</v>
      </c>
      <c r="K7" s="517" t="s">
        <v>715</v>
      </c>
      <c r="L7" s="517" t="s">
        <v>716</v>
      </c>
      <c r="M7" s="517" t="s">
        <v>717</v>
      </c>
      <c r="N7" s="628" t="s">
        <v>718</v>
      </c>
      <c r="O7" s="533" t="s">
        <v>719</v>
      </c>
      <c r="P7" s="534"/>
      <c r="Q7" s="533" t="s">
        <v>720</v>
      </c>
      <c r="R7" s="534"/>
      <c r="S7" s="537"/>
      <c r="T7" s="533" t="s">
        <v>721</v>
      </c>
      <c r="U7" s="537"/>
      <c r="V7" s="639" t="s">
        <v>722</v>
      </c>
      <c r="W7" s="641" t="s">
        <v>723</v>
      </c>
      <c r="X7" s="642" t="s">
        <v>724</v>
      </c>
      <c r="Y7" s="642" t="s">
        <v>725</v>
      </c>
      <c r="Z7" s="642"/>
      <c r="AA7" s="642"/>
      <c r="AB7" s="642"/>
      <c r="AC7" s="642"/>
      <c r="AD7" s="642"/>
      <c r="AE7" s="642"/>
      <c r="AF7" s="605" t="s">
        <v>719</v>
      </c>
      <c r="AG7" s="547"/>
      <c r="AH7" s="546" t="s">
        <v>720</v>
      </c>
      <c r="AI7" s="547"/>
      <c r="AJ7" s="551" t="s">
        <v>726</v>
      </c>
      <c r="AK7" s="551" t="s">
        <v>727</v>
      </c>
      <c r="AL7" s="551" t="s">
        <v>728</v>
      </c>
      <c r="AM7" s="609" t="s">
        <v>729</v>
      </c>
      <c r="AN7" s="542" t="s">
        <v>705</v>
      </c>
      <c r="AO7" s="542" t="s">
        <v>730</v>
      </c>
      <c r="AP7" s="542" t="s">
        <v>731</v>
      </c>
      <c r="AQ7" s="542" t="s">
        <v>732</v>
      </c>
      <c r="AR7" s="542" t="s">
        <v>733</v>
      </c>
      <c r="AS7" s="542" t="s">
        <v>734</v>
      </c>
    </row>
    <row r="8" spans="1:45" s="4" customFormat="1" ht="85.5" customHeight="1" x14ac:dyDescent="0.2">
      <c r="B8" s="518"/>
      <c r="C8" s="518"/>
      <c r="D8" s="518"/>
      <c r="E8" s="518"/>
      <c r="F8" s="520"/>
      <c r="G8" s="520"/>
      <c r="H8" s="518"/>
      <c r="I8" s="518"/>
      <c r="J8" s="518"/>
      <c r="K8" s="518"/>
      <c r="L8" s="518"/>
      <c r="M8" s="518"/>
      <c r="N8" s="629"/>
      <c r="O8" s="611"/>
      <c r="P8" s="612"/>
      <c r="Q8" s="611"/>
      <c r="R8" s="612"/>
      <c r="S8" s="613"/>
      <c r="T8" s="611"/>
      <c r="U8" s="613"/>
      <c r="V8" s="640"/>
      <c r="W8" s="641"/>
      <c r="X8" s="642"/>
      <c r="Y8" s="6" t="s">
        <v>735</v>
      </c>
      <c r="Z8" s="6" t="s">
        <v>736</v>
      </c>
      <c r="AA8" s="6" t="s">
        <v>737</v>
      </c>
      <c r="AB8" s="6" t="s">
        <v>738</v>
      </c>
      <c r="AC8" s="6" t="s">
        <v>739</v>
      </c>
      <c r="AD8" s="6" t="s">
        <v>740</v>
      </c>
      <c r="AE8" s="5" t="s">
        <v>741</v>
      </c>
      <c r="AF8" s="606"/>
      <c r="AG8" s="607"/>
      <c r="AH8" s="630"/>
      <c r="AI8" s="607"/>
      <c r="AJ8" s="608"/>
      <c r="AK8" s="608"/>
      <c r="AL8" s="608"/>
      <c r="AM8" s="610"/>
      <c r="AN8" s="604"/>
      <c r="AO8" s="604"/>
      <c r="AP8" s="604"/>
      <c r="AQ8" s="604"/>
      <c r="AR8" s="604"/>
      <c r="AS8" s="604"/>
    </row>
    <row r="9" spans="1:45" s="30" customFormat="1" ht="118.5" customHeight="1" x14ac:dyDescent="0.25">
      <c r="B9" s="28" t="s">
        <v>742</v>
      </c>
      <c r="C9" s="28" t="s">
        <v>743</v>
      </c>
      <c r="D9" s="47" t="s">
        <v>744</v>
      </c>
      <c r="E9" s="46" t="s">
        <v>745</v>
      </c>
      <c r="F9" s="28" t="s">
        <v>1606</v>
      </c>
      <c r="G9" s="39" t="s">
        <v>746</v>
      </c>
      <c r="H9" s="28" t="s">
        <v>747</v>
      </c>
      <c r="I9" s="28" t="s">
        <v>748</v>
      </c>
      <c r="J9" s="26" t="s">
        <v>749</v>
      </c>
      <c r="K9" s="26" t="s">
        <v>750</v>
      </c>
      <c r="L9" s="38" t="s">
        <v>751</v>
      </c>
      <c r="M9" s="40" t="s">
        <v>752</v>
      </c>
      <c r="N9" s="41">
        <v>4</v>
      </c>
      <c r="O9" s="368" t="str">
        <f>IF(N9&lt;=0,"",IF(N9&lt;=2,"Muy Baja",IF(N9&lt;=24,"Baja",IF(N9&lt;=500,"Media",IF(N9&lt;=5000,"Alta","Muy Alta")))))</f>
        <v>Baja</v>
      </c>
      <c r="P9" s="27">
        <f>+VLOOKUP(O9,Probabilidad!$B$5:$C$9,2,FALSE)</f>
        <v>0.4</v>
      </c>
      <c r="Q9" s="28" t="s">
        <v>753</v>
      </c>
      <c r="R9" s="369" t="str">
        <f>+VLOOKUP(Q9,Impacto!$B$5:$D$9,2,FALSE)</f>
        <v>Mayor</v>
      </c>
      <c r="S9" s="27">
        <f>+VLOOKUP(Q9,Impacto!$B$5:$D$9,3,FALSE)</f>
        <v>0.8</v>
      </c>
      <c r="T9" s="27">
        <f>+P9*S9</f>
        <v>0.32000000000000006</v>
      </c>
      <c r="U9" s="340" t="str">
        <f>+IF(T9&lt;=11%,"Bajo",IF(AND(T9&gt;=12%,T9&lt;=39%),"Moderado",IF(AND(T9&gt;=40%,T9&lt;=64%),"Alto",IF(T9&gt;64%,"Extremo",""))))</f>
        <v>Moderado</v>
      </c>
      <c r="V9" s="26">
        <v>1</v>
      </c>
      <c r="W9" s="38" t="s">
        <v>754</v>
      </c>
      <c r="X9" s="35" t="str">
        <f>IF(OR(Y9="Preventivo",Y9="Detectivo"),"Probabilidad",IF(Y9="Correctivo","Impacto",""))</f>
        <v>Probabilidad</v>
      </c>
      <c r="Y9" s="42" t="s">
        <v>755</v>
      </c>
      <c r="Z9" s="42" t="s">
        <v>756</v>
      </c>
      <c r="AA9" s="43" t="str">
        <f>IF(AND(Y9="Preventivo",Z9="Automático"),"50%",IF(AND(Y9="Preventivo",Z9="Manual"),"40%",IF(AND(Y9="Detectivo",Z9="Automático"),"40%",IF(AND(Y9="Detectivo",Z9="Manual"),"30%",IF(AND(Y9="Correctivo",Z9="Automático"),"35%",IF(AND(Y9="Correctivo",Z9="Manual"),"25%",""))))))</f>
        <v>40%</v>
      </c>
      <c r="AB9" s="42" t="s">
        <v>738</v>
      </c>
      <c r="AC9" s="42" t="s">
        <v>757</v>
      </c>
      <c r="AD9" s="42" t="s">
        <v>758</v>
      </c>
      <c r="AE9" s="38" t="s">
        <v>1429</v>
      </c>
      <c r="AF9" s="27">
        <f>IFERROR(IF(X9="Probabilidad",(P9-(P9*AA9)),IF(X9="Impacto",P9,"")),"")</f>
        <v>0.24</v>
      </c>
      <c r="AG9" s="37" t="str">
        <f>IFERROR(IF(AF9="","",IF(AF9&lt;=0.2,"Muy Baja",IF(AF9&lt;=0.4,"Baja",IF(AF9&lt;=0.6,"Media",IF(AF9&lt;=0.8,"Alta","Muy Alta"))))),"")</f>
        <v>Baja</v>
      </c>
      <c r="AH9" s="27">
        <f>IFERROR(IF(X9="Impacto",(S9-(S9*AA9)),IF(X9="Probabilidad",S9,"")),"")</f>
        <v>0.8</v>
      </c>
      <c r="AI9" s="37" t="str">
        <f>IFERROR(IF(AH9="","",IF(AH9&lt;=0.2,"Leve",IF(AH9&lt;=0.4,"Menor",IF(AH9&lt;=0.6,"Moderado",IF(AH9&lt;=0.8,"Mayor","Catastrófico"))))),"")</f>
        <v>Mayor</v>
      </c>
      <c r="AJ9" s="36">
        <f>+AF9*AH9</f>
        <v>0.192</v>
      </c>
      <c r="AK9" s="340" t="str">
        <f>+IF(AJ9&lt;=11%,"Bajo",IF(AND(AJ9&gt;=12%,AJ9&lt;=39%),"Moderado",IF(AND(AJ9&gt;=40%,AJ9&lt;=64%),"Alto",IF(AJ9&gt;64%,"Extremo",""))))</f>
        <v>Moderado</v>
      </c>
      <c r="AL9" s="340" t="str">
        <f>+AK9</f>
        <v>Moderado</v>
      </c>
      <c r="AM9" s="26" t="s">
        <v>759</v>
      </c>
      <c r="AN9" s="39" t="s">
        <v>760</v>
      </c>
      <c r="AO9" s="39" t="s">
        <v>761</v>
      </c>
      <c r="AP9" s="44">
        <v>45505</v>
      </c>
      <c r="AQ9" s="40" t="s">
        <v>762</v>
      </c>
      <c r="AR9" s="39" t="s">
        <v>763</v>
      </c>
      <c r="AS9" s="26" t="s">
        <v>764</v>
      </c>
    </row>
    <row r="10" spans="1:45" s="30" customFormat="1" ht="87" customHeight="1" x14ac:dyDescent="0.25">
      <c r="B10" s="28" t="s">
        <v>742</v>
      </c>
      <c r="C10" s="28" t="s">
        <v>765</v>
      </c>
      <c r="D10" s="26" t="s">
        <v>766</v>
      </c>
      <c r="E10" s="342" t="s">
        <v>767</v>
      </c>
      <c r="F10" s="39" t="s">
        <v>768</v>
      </c>
      <c r="G10" s="39" t="s">
        <v>769</v>
      </c>
      <c r="H10" s="28" t="s">
        <v>747</v>
      </c>
      <c r="I10" s="28" t="s">
        <v>748</v>
      </c>
      <c r="J10" s="26" t="s">
        <v>749</v>
      </c>
      <c r="K10" s="26" t="s">
        <v>750</v>
      </c>
      <c r="L10" s="38" t="s">
        <v>751</v>
      </c>
      <c r="M10" s="40" t="s">
        <v>752</v>
      </c>
      <c r="N10" s="26">
        <v>19</v>
      </c>
      <c r="O10" s="368" t="str">
        <f>IF(N10&lt;=0,"",IF(N10&lt;=2,"Muy Baja",IF(N10&lt;=24,"Baja",IF(N10&lt;=500,"Media",IF(N10&lt;=5000,"Alta","Muy Alta")))))</f>
        <v>Baja</v>
      </c>
      <c r="P10" s="27">
        <f>+VLOOKUP(O10,Probabilidad!$B$5:$C$9,2,FALSE)</f>
        <v>0.4</v>
      </c>
      <c r="Q10" s="28" t="s">
        <v>770</v>
      </c>
      <c r="R10" s="369" t="str">
        <f>+VLOOKUP(Q10,Impacto!$B$5:$D$9,2,FALSE)</f>
        <v>Moderado</v>
      </c>
      <c r="S10" s="27">
        <f>+VLOOKUP(Q10,Impacto!$B$5:$D$9,3,FALSE)</f>
        <v>0.6</v>
      </c>
      <c r="T10" s="27">
        <f>+P10*S10</f>
        <v>0.24</v>
      </c>
      <c r="U10" s="340" t="str">
        <f t="shared" ref="U10:U72" si="0">+IF(T10&lt;=11%,"Bajo",IF(AND(T10&gt;=12%,T10&lt;=39%),"Moderado",IF(AND(T10&gt;=40%,T10&lt;=64%),"Alto",IF(T10&gt;64%,"Extremo",""))))</f>
        <v>Moderado</v>
      </c>
      <c r="V10" s="26">
        <v>1</v>
      </c>
      <c r="W10" s="38" t="s">
        <v>771</v>
      </c>
      <c r="X10" s="35" t="str">
        <f t="shared" ref="X10:X82" si="1">IF(OR(Y10="Preventivo",Y10="Detectivo"),"Probabilidad",IF(Y10="Correctivo","Impacto",""))</f>
        <v>Probabilidad</v>
      </c>
      <c r="Y10" s="42" t="s">
        <v>755</v>
      </c>
      <c r="Z10" s="42" t="s">
        <v>756</v>
      </c>
      <c r="AA10" s="43" t="str">
        <f t="shared" ref="AA10:AA82" si="2">IF(AND(Y10="Preventivo",Z10="Automático"),"50%",IF(AND(Y10="Preventivo",Z10="Manual"),"40%",IF(AND(Y10="Detectivo",Z10="Automático"),"40%",IF(AND(Y10="Detectivo",Z10="Manual"),"30%",IF(AND(Y10="Correctivo",Z10="Automático"),"35%",IF(AND(Y10="Correctivo",Z10="Manual"),"25%",""))))))</f>
        <v>40%</v>
      </c>
      <c r="AB10" s="42" t="s">
        <v>738</v>
      </c>
      <c r="AC10" s="42" t="s">
        <v>757</v>
      </c>
      <c r="AD10" s="42" t="s">
        <v>758</v>
      </c>
      <c r="AE10" s="38" t="s">
        <v>1430</v>
      </c>
      <c r="AF10" s="27">
        <f>IFERROR(IF(X10="Probabilidad",(P10-(P10*AA10)),IF(X10="Impacto",P10,"")),"")</f>
        <v>0.24</v>
      </c>
      <c r="AG10" s="37" t="str">
        <f>IFERROR(IF(AF10="","",IF(AF10&lt;=0.2,"Muy Baja",IF(AF10&lt;=0.4,"Baja",IF(AF10&lt;=0.6,"Media",IF(AF10&lt;=0.8,"Alta","Muy Alta"))))),"")</f>
        <v>Baja</v>
      </c>
      <c r="AH10" s="27">
        <f>IFERROR(IF(X10="Impacto",(S10-(S10*AA10)),IF(X10="Probabilidad",S10,"")),"")</f>
        <v>0.6</v>
      </c>
      <c r="AI10" s="37" t="str">
        <f>IFERROR(IF(AH10="","",IF(AH10&lt;=0.2,"Leve",IF(AH10&lt;=0.4,"Menor",IF(AH10&lt;=0.6,"Moderado",IF(AH10&lt;=0.8,"Mayor","Catastrófico"))))),"")</f>
        <v>Moderado</v>
      </c>
      <c r="AJ10" s="36">
        <f t="shared" ref="AJ10:AJ13" si="3">+AF10*AH10</f>
        <v>0.14399999999999999</v>
      </c>
      <c r="AK10" s="340" t="str">
        <f t="shared" ref="AK10:AK72" si="4">+IF(AJ10&lt;=11%,"Bajo",IF(AND(AJ10&gt;=12%,AJ10&lt;=39%),"Moderado",IF(AND(AJ10&gt;=40%,AJ10&lt;=64%),"Alto",IF(AJ10&gt;64%,"Extremo",""))))</f>
        <v>Moderado</v>
      </c>
      <c r="AL10" s="340" t="str">
        <f>+AK10</f>
        <v>Moderado</v>
      </c>
      <c r="AM10" s="26" t="s">
        <v>759</v>
      </c>
      <c r="AN10" s="38" t="s">
        <v>772</v>
      </c>
      <c r="AO10" s="38" t="s">
        <v>761</v>
      </c>
      <c r="AP10" s="335">
        <v>45474</v>
      </c>
      <c r="AQ10" s="336" t="s">
        <v>762</v>
      </c>
      <c r="AR10" s="38" t="s">
        <v>773</v>
      </c>
      <c r="AS10" s="26" t="s">
        <v>764</v>
      </c>
    </row>
    <row r="11" spans="1:45" s="30" customFormat="1" ht="71.25" customHeight="1" x14ac:dyDescent="0.25">
      <c r="B11" s="28" t="s">
        <v>742</v>
      </c>
      <c r="C11" s="28" t="s">
        <v>765</v>
      </c>
      <c r="D11" s="26" t="s">
        <v>774</v>
      </c>
      <c r="E11" s="342" t="s">
        <v>775</v>
      </c>
      <c r="F11" s="39" t="s">
        <v>776</v>
      </c>
      <c r="G11" s="39" t="s">
        <v>777</v>
      </c>
      <c r="H11" s="28" t="s">
        <v>747</v>
      </c>
      <c r="I11" s="28" t="s">
        <v>748</v>
      </c>
      <c r="J11" s="28" t="s">
        <v>778</v>
      </c>
      <c r="K11" s="26" t="s">
        <v>779</v>
      </c>
      <c r="L11" s="38" t="s">
        <v>751</v>
      </c>
      <c r="M11" s="40" t="s">
        <v>752</v>
      </c>
      <c r="N11" s="26">
        <v>4</v>
      </c>
      <c r="O11" s="368" t="str">
        <f>IF(N11&lt;=0,"",IF(N11&lt;=2,"Muy Baja",IF(N11&lt;=24,"Baja",IF(N11&lt;=500,"Media",IF(N11&lt;=5000,"Alta","Muy Alta")))))</f>
        <v>Baja</v>
      </c>
      <c r="P11" s="27">
        <f>+VLOOKUP(O11,Probabilidad!$B$5:$C$9,2,FALSE)</f>
        <v>0.4</v>
      </c>
      <c r="Q11" s="28" t="s">
        <v>770</v>
      </c>
      <c r="R11" s="369" t="str">
        <f>+VLOOKUP(Q11,Impacto!$B$5:$D$9,2,FALSE)</f>
        <v>Moderado</v>
      </c>
      <c r="S11" s="27">
        <f>+VLOOKUP(Q11,Impacto!$B$5:$D$9,3,FALSE)</f>
        <v>0.6</v>
      </c>
      <c r="T11" s="27">
        <f>+P11*S11</f>
        <v>0.24</v>
      </c>
      <c r="U11" s="340" t="str">
        <f t="shared" si="0"/>
        <v>Moderado</v>
      </c>
      <c r="V11" s="26">
        <v>1</v>
      </c>
      <c r="W11" s="28" t="s">
        <v>780</v>
      </c>
      <c r="X11" s="35" t="str">
        <f t="shared" si="1"/>
        <v>Probabilidad</v>
      </c>
      <c r="Y11" s="42" t="s">
        <v>755</v>
      </c>
      <c r="Z11" s="42" t="s">
        <v>756</v>
      </c>
      <c r="AA11" s="43" t="str">
        <f t="shared" si="2"/>
        <v>40%</v>
      </c>
      <c r="AB11" s="42" t="s">
        <v>738</v>
      </c>
      <c r="AC11" s="42" t="s">
        <v>757</v>
      </c>
      <c r="AD11" s="42" t="s">
        <v>758</v>
      </c>
      <c r="AE11" s="39" t="s">
        <v>1431</v>
      </c>
      <c r="AF11" s="27">
        <f>IFERROR(IF(X11="Probabilidad",(P11-(P11*AA11)),IF(X11="Impacto",P11,"")),"")</f>
        <v>0.24</v>
      </c>
      <c r="AG11" s="37" t="str">
        <f>IFERROR(IF(AF11="","",IF(AF11&lt;=0.2,"Muy Baja",IF(AF11&lt;=0.4,"Baja",IF(AF11&lt;=0.6,"Media",IF(AF11&lt;=0.8,"Alta","Muy Alta"))))),"")</f>
        <v>Baja</v>
      </c>
      <c r="AH11" s="27">
        <f>IFERROR(IF(X11="Impacto",(S11-(S11*AA11)),IF(X11="Probabilidad",S11,"")),"")</f>
        <v>0.6</v>
      </c>
      <c r="AI11" s="37" t="str">
        <f>IFERROR(IF(AH11="","",IF(AH11&lt;=0.2,"Leve",IF(AH11&lt;=0.4,"Menor",IF(AH11&lt;=0.6,"Moderado",IF(AH11&lt;=0.8,"Mayor","Catastrófico"))))),"")</f>
        <v>Moderado</v>
      </c>
      <c r="AJ11" s="36">
        <f t="shared" si="3"/>
        <v>0.14399999999999999</v>
      </c>
      <c r="AK11" s="340" t="str">
        <f t="shared" si="4"/>
        <v>Moderado</v>
      </c>
      <c r="AL11" s="340" t="str">
        <f>+AK11</f>
        <v>Moderado</v>
      </c>
      <c r="AM11" s="26" t="s">
        <v>759</v>
      </c>
      <c r="AN11" s="26"/>
      <c r="AO11" s="26"/>
      <c r="AP11" s="26"/>
      <c r="AQ11" s="26"/>
      <c r="AR11" s="26"/>
      <c r="AS11" s="26"/>
    </row>
    <row r="12" spans="1:45" s="30" customFormat="1" ht="117.75" customHeight="1" x14ac:dyDescent="0.25">
      <c r="B12" s="28" t="s">
        <v>742</v>
      </c>
      <c r="C12" s="28" t="s">
        <v>765</v>
      </c>
      <c r="D12" s="26" t="s">
        <v>781</v>
      </c>
      <c r="E12" s="38" t="s">
        <v>782</v>
      </c>
      <c r="F12" s="38" t="s">
        <v>1357</v>
      </c>
      <c r="G12" s="39" t="s">
        <v>783</v>
      </c>
      <c r="H12" s="28" t="s">
        <v>747</v>
      </c>
      <c r="I12" s="28" t="s">
        <v>748</v>
      </c>
      <c r="J12" s="26" t="s">
        <v>784</v>
      </c>
      <c r="K12" s="26" t="s">
        <v>750</v>
      </c>
      <c r="L12" s="38" t="s">
        <v>785</v>
      </c>
      <c r="M12" s="40" t="s">
        <v>752</v>
      </c>
      <c r="N12" s="26">
        <v>5</v>
      </c>
      <c r="O12" s="368" t="str">
        <f>IF(N12&lt;=0,"",IF(N12&lt;=2,"Muy Baja",IF(N12&lt;=24,"Baja",IF(N12&lt;=500,"Media",IF(N12&lt;=5000,"Alta","Muy Alta")))))</f>
        <v>Baja</v>
      </c>
      <c r="P12" s="27">
        <f>+VLOOKUP(O12,Probabilidad!$B$5:$C$9,2,FALSE)</f>
        <v>0.4</v>
      </c>
      <c r="Q12" s="28" t="s">
        <v>786</v>
      </c>
      <c r="R12" s="369" t="str">
        <f>+VLOOKUP(Q12,Impacto!$B$5:$D$9,2,FALSE)</f>
        <v>Leve</v>
      </c>
      <c r="S12" s="27">
        <f>+VLOOKUP(Q12,Impacto!$B$5:$D$9,3,FALSE)</f>
        <v>0.2</v>
      </c>
      <c r="T12" s="27">
        <f>+P12*S12</f>
        <v>8.0000000000000016E-2</v>
      </c>
      <c r="U12" s="340" t="str">
        <f t="shared" si="0"/>
        <v>Bajo</v>
      </c>
      <c r="V12" s="26">
        <v>1</v>
      </c>
      <c r="W12" s="38" t="s">
        <v>787</v>
      </c>
      <c r="X12" s="35" t="str">
        <f t="shared" si="1"/>
        <v>Probabilidad</v>
      </c>
      <c r="Y12" s="42" t="s">
        <v>755</v>
      </c>
      <c r="Z12" s="42" t="s">
        <v>756</v>
      </c>
      <c r="AA12" s="43" t="str">
        <f t="shared" si="2"/>
        <v>40%</v>
      </c>
      <c r="AB12" s="42" t="s">
        <v>738</v>
      </c>
      <c r="AC12" s="42" t="s">
        <v>757</v>
      </c>
      <c r="AD12" s="42" t="s">
        <v>758</v>
      </c>
      <c r="AE12" s="38" t="s">
        <v>1432</v>
      </c>
      <c r="AF12" s="27">
        <f>IFERROR(IF(X12="Probabilidad",(P12-(P12*AA12)),IF(X12="Impacto",P12,"")),"")</f>
        <v>0.24</v>
      </c>
      <c r="AG12" s="37" t="str">
        <f>IFERROR(IF(AF12="","",IF(AF12&lt;=0.2,"Muy Baja",IF(AF12&lt;=0.4,"Baja",IF(AF12&lt;=0.6,"Media",IF(AF12&lt;=0.8,"Alta","Muy Alta"))))),"")</f>
        <v>Baja</v>
      </c>
      <c r="AH12" s="27">
        <f>IFERROR(IF(X12="Impacto",(S12-(S12*AA12)),IF(X12="Probabilidad",S12,"")),"")</f>
        <v>0.2</v>
      </c>
      <c r="AI12" s="37" t="str">
        <f>IFERROR(IF(AH12="","",IF(AH12&lt;=0.2,"Leve",IF(AH12&lt;=0.4,"Menor",IF(AH12&lt;=0.6,"Moderado",IF(AH12&lt;=0.8,"Mayor","Catastrófico"))))),"")</f>
        <v>Leve</v>
      </c>
      <c r="AJ12" s="36">
        <f t="shared" si="3"/>
        <v>4.8000000000000001E-2</v>
      </c>
      <c r="AK12" s="340" t="str">
        <f t="shared" si="4"/>
        <v>Bajo</v>
      </c>
      <c r="AL12" s="37" t="str">
        <f>+AK12</f>
        <v>Bajo</v>
      </c>
      <c r="AM12" s="26" t="s">
        <v>1271</v>
      </c>
      <c r="AN12" s="26"/>
      <c r="AO12" s="26"/>
      <c r="AP12" s="26"/>
      <c r="AQ12" s="26"/>
      <c r="AR12" s="26"/>
      <c r="AS12" s="26"/>
    </row>
    <row r="13" spans="1:45" s="30" customFormat="1" ht="127.5" x14ac:dyDescent="0.25">
      <c r="B13" s="554" t="s">
        <v>742</v>
      </c>
      <c r="C13" s="554" t="s">
        <v>765</v>
      </c>
      <c r="D13" s="563" t="s">
        <v>788</v>
      </c>
      <c r="E13" s="579" t="s">
        <v>789</v>
      </c>
      <c r="F13" s="579" t="s">
        <v>1358</v>
      </c>
      <c r="G13" s="586" t="s">
        <v>790</v>
      </c>
      <c r="H13" s="554" t="s">
        <v>747</v>
      </c>
      <c r="I13" s="554" t="s">
        <v>748</v>
      </c>
      <c r="J13" s="554" t="s">
        <v>791</v>
      </c>
      <c r="K13" s="563" t="s">
        <v>750</v>
      </c>
      <c r="L13" s="579" t="s">
        <v>785</v>
      </c>
      <c r="M13" s="581" t="s">
        <v>752</v>
      </c>
      <c r="N13" s="563">
        <v>13</v>
      </c>
      <c r="O13" s="596" t="str">
        <f>IF(N13&lt;=0,"",IF(N13&lt;=2,"Muy Baja",IF(N13&lt;=24,"Baja",IF(N13&lt;=500,"Media",IF(N13&lt;=5000,"Alta","Muy Alta")))))</f>
        <v>Baja</v>
      </c>
      <c r="P13" s="594">
        <f>+VLOOKUP(O13,Probabilidad!$B$5:$C$9,2,FALSE)</f>
        <v>0.4</v>
      </c>
      <c r="Q13" s="554" t="s">
        <v>753</v>
      </c>
      <c r="R13" s="596" t="str">
        <f>+VLOOKUP(Q13,Impacto!$B$5:$D$9,2,FALSE)</f>
        <v>Mayor</v>
      </c>
      <c r="S13" s="594">
        <f>+VLOOKUP(Q13,Impacto!$B$5:$D$9,3,FALSE)</f>
        <v>0.8</v>
      </c>
      <c r="T13" s="594">
        <f>+P13*S13</f>
        <v>0.32000000000000006</v>
      </c>
      <c r="U13" s="567" t="str">
        <f t="shared" si="0"/>
        <v>Moderado</v>
      </c>
      <c r="V13" s="38">
        <v>1</v>
      </c>
      <c r="W13" s="38" t="s">
        <v>1545</v>
      </c>
      <c r="X13" s="35" t="str">
        <f t="shared" si="1"/>
        <v>Probabilidad</v>
      </c>
      <c r="Y13" s="42" t="s">
        <v>755</v>
      </c>
      <c r="Z13" s="42" t="s">
        <v>756</v>
      </c>
      <c r="AA13" s="43" t="str">
        <f t="shared" si="2"/>
        <v>40%</v>
      </c>
      <c r="AB13" s="42" t="s">
        <v>738</v>
      </c>
      <c r="AC13" s="42" t="s">
        <v>757</v>
      </c>
      <c r="AD13" s="42" t="s">
        <v>758</v>
      </c>
      <c r="AE13" s="38" t="s">
        <v>1549</v>
      </c>
      <c r="AF13" s="27">
        <f>IFERROR(IF(X13="Probabilidad",(P13-(P13*AA13)),IF(X13="Impacto",P13,"")),"")</f>
        <v>0.24</v>
      </c>
      <c r="AG13" s="37" t="str">
        <f>IFERROR(IF(AF13="","",IF(AF13&lt;=0.2,"Muy Baja",IF(AF13&lt;=0.4,"Baja",IF(AF13&lt;=0.6,"Media",IF(AF13&lt;=0.8,"Alta","Muy Alta"))))),"")</f>
        <v>Baja</v>
      </c>
      <c r="AH13" s="27">
        <f>IFERROR(IF(X13="Impacto",(S13-(S13*AA13)),IF(X13="Probabilidad",S13,"")),"")</f>
        <v>0.8</v>
      </c>
      <c r="AI13" s="37" t="str">
        <f>IFERROR(IF(AH13="","",IF(AH13&lt;=0.2,"Leve",IF(AH13&lt;=0.4,"Menor",IF(AH13&lt;=0.6,"Moderado",IF(AH13&lt;=0.8,"Mayor","Catastrófico"))))),"")</f>
        <v>Mayor</v>
      </c>
      <c r="AJ13" s="36">
        <f t="shared" si="3"/>
        <v>0.192</v>
      </c>
      <c r="AK13" s="340" t="str">
        <f t="shared" si="4"/>
        <v>Moderado</v>
      </c>
      <c r="AL13" s="614" t="str">
        <f>AK15</f>
        <v>Bajo</v>
      </c>
      <c r="AM13" s="563" t="s">
        <v>1271</v>
      </c>
      <c r="AN13" s="26"/>
      <c r="AO13" s="26"/>
      <c r="AP13" s="26"/>
      <c r="AQ13" s="26"/>
      <c r="AR13" s="26"/>
      <c r="AS13" s="26"/>
    </row>
    <row r="14" spans="1:45" s="30" customFormat="1" ht="63.75" x14ac:dyDescent="0.25">
      <c r="B14" s="566"/>
      <c r="C14" s="566"/>
      <c r="D14" s="598"/>
      <c r="E14" s="585"/>
      <c r="F14" s="585"/>
      <c r="G14" s="587"/>
      <c r="H14" s="566"/>
      <c r="I14" s="566"/>
      <c r="J14" s="566"/>
      <c r="K14" s="598"/>
      <c r="L14" s="585"/>
      <c r="M14" s="590"/>
      <c r="N14" s="598"/>
      <c r="O14" s="602"/>
      <c r="P14" s="601"/>
      <c r="Q14" s="566"/>
      <c r="R14" s="602" t="e">
        <f>+VLOOKUP(Q14,Impacto!$B$5:$D$9,2,FALSE)</f>
        <v>#N/A</v>
      </c>
      <c r="S14" s="601" t="e">
        <f>+VLOOKUP(Q14,Impacto!$B$5:$D$9,3,FALSE)</f>
        <v>#N/A</v>
      </c>
      <c r="T14" s="601"/>
      <c r="U14" s="568" t="str">
        <f t="shared" si="0"/>
        <v>Bajo</v>
      </c>
      <c r="V14" s="26">
        <v>2</v>
      </c>
      <c r="W14" s="38" t="s">
        <v>1546</v>
      </c>
      <c r="X14" s="35" t="str">
        <f t="shared" ref="X14:X18" si="5">IF(OR(Y14="Preventivo",Y14="Detectivo"),"Probabilidad",IF(Y14="Correctivo","Impacto",""))</f>
        <v>Probabilidad</v>
      </c>
      <c r="Y14" s="42" t="s">
        <v>755</v>
      </c>
      <c r="Z14" s="42" t="s">
        <v>756</v>
      </c>
      <c r="AA14" s="43" t="str">
        <f t="shared" si="2"/>
        <v>40%</v>
      </c>
      <c r="AB14" s="42" t="s">
        <v>738</v>
      </c>
      <c r="AC14" s="42" t="s">
        <v>757</v>
      </c>
      <c r="AD14" s="42" t="s">
        <v>758</v>
      </c>
      <c r="AE14" s="38" t="s">
        <v>1550</v>
      </c>
      <c r="AF14" s="27">
        <f>IFERROR(IF(AND(X13="Probabilidad",X14="Probabilidad"),(AF13-(+AF13*AA14)),IF(X14="Probabilidad",(P13-(P13*AA14)),IF(X14="Impacto",P13,""))),"")</f>
        <v>0.14399999999999999</v>
      </c>
      <c r="AG14" s="37" t="str">
        <f t="shared" ref="AG14:AG15" si="6">IFERROR(IF(AF14="","",IF(AF14&lt;=0.2,"Muy Baja",IF(AF14&lt;=0.4,"Baja",IF(AF14&lt;=0.6,"Media",IF(AF14&lt;=0.8,"Alta","Muy Alta"))))),"")</f>
        <v>Muy Baja</v>
      </c>
      <c r="AH14" s="27">
        <f>IFERROR(IF(AND(X13="Impacto",X14="Impacto"),(AH13-(+AH13*AA14)),IF(X14="Impacto",(S13-(+S13*AA14)),IF(X14="Probabilidad",AH13,""))),"")</f>
        <v>0.8</v>
      </c>
      <c r="AI14" s="37" t="str">
        <f t="shared" ref="AI14:AI15" si="7">IFERROR(IF(AH14="","",IF(AH14&lt;=0.2,"Leve",IF(AH14&lt;=0.4,"Menor",IF(AH14&lt;=0.6,"Moderado",IF(AH14&lt;=0.8,"Mayor","Catastrófico"))))),"")</f>
        <v>Mayor</v>
      </c>
      <c r="AJ14" s="36">
        <f>ROUND(+AF14*AH14,2)</f>
        <v>0.12</v>
      </c>
      <c r="AK14" s="340" t="str">
        <f t="shared" si="4"/>
        <v>Moderado</v>
      </c>
      <c r="AL14" s="615"/>
      <c r="AM14" s="598"/>
      <c r="AN14" s="26"/>
      <c r="AO14" s="26"/>
      <c r="AP14" s="26"/>
      <c r="AQ14" s="26"/>
      <c r="AR14" s="26"/>
      <c r="AS14" s="26"/>
    </row>
    <row r="15" spans="1:45" s="30" customFormat="1" ht="81" customHeight="1" x14ac:dyDescent="0.25">
      <c r="B15" s="555"/>
      <c r="C15" s="555"/>
      <c r="D15" s="564"/>
      <c r="E15" s="580"/>
      <c r="F15" s="580"/>
      <c r="G15" s="588"/>
      <c r="H15" s="555"/>
      <c r="I15" s="555"/>
      <c r="J15" s="555"/>
      <c r="K15" s="564"/>
      <c r="L15" s="580"/>
      <c r="M15" s="582"/>
      <c r="N15" s="564"/>
      <c r="O15" s="597"/>
      <c r="P15" s="595"/>
      <c r="Q15" s="555"/>
      <c r="R15" s="597" t="e">
        <f>+VLOOKUP(Q15,Impacto!$B$5:$D$9,2,FALSE)</f>
        <v>#N/A</v>
      </c>
      <c r="S15" s="595" t="e">
        <f>+VLOOKUP(Q15,Impacto!$B$5:$D$9,3,FALSE)</f>
        <v>#N/A</v>
      </c>
      <c r="T15" s="595"/>
      <c r="U15" s="569" t="str">
        <f t="shared" si="0"/>
        <v>Bajo</v>
      </c>
      <c r="V15" s="26">
        <v>3</v>
      </c>
      <c r="W15" s="38" t="s">
        <v>1547</v>
      </c>
      <c r="X15" s="35" t="str">
        <f t="shared" si="5"/>
        <v>Probabilidad</v>
      </c>
      <c r="Y15" s="42" t="s">
        <v>755</v>
      </c>
      <c r="Z15" s="42" t="s">
        <v>756</v>
      </c>
      <c r="AA15" s="43" t="str">
        <f t="shared" si="2"/>
        <v>40%</v>
      </c>
      <c r="AB15" s="42" t="s">
        <v>738</v>
      </c>
      <c r="AC15" s="42" t="s">
        <v>757</v>
      </c>
      <c r="AD15" s="42" t="s">
        <v>758</v>
      </c>
      <c r="AE15" s="38" t="s">
        <v>1548</v>
      </c>
      <c r="AF15" s="27">
        <f>IFERROR(IF(AND(X14="Probabilidad",X15="Probabilidad"),(AF14-(+AF14*AA15)),IF(X15="Probabilidad",(P13-(P13*AA15)),IF(X15="Impacto",P13,""))),"")</f>
        <v>8.6399999999999991E-2</v>
      </c>
      <c r="AG15" s="37" t="str">
        <f t="shared" si="6"/>
        <v>Muy Baja</v>
      </c>
      <c r="AH15" s="27">
        <f>IFERROR(IF(AND(X14="Impacto",X15="Impacto"),(AH14-(+AH14*AA15)),IF(X15="Impacto",(S13-(+S13*AA15)),IF(X15="Probabilidad",AH14,""))),"")</f>
        <v>0.8</v>
      </c>
      <c r="AI15" s="37" t="str">
        <f t="shared" si="7"/>
        <v>Mayor</v>
      </c>
      <c r="AJ15" s="36">
        <f>+AF15*AH15</f>
        <v>6.9120000000000001E-2</v>
      </c>
      <c r="AK15" s="340" t="str">
        <f>+IF(AJ15&lt;=11%,"Bajo",IF(AND(AJ15&gt;=12%,AJ15&lt;=39%),"Moderado",IF(AND(AJ15&gt;=40%,AJ15&lt;=64%),"Alto",IF(AJ15&gt;64%,"Extremo",""))))</f>
        <v>Bajo</v>
      </c>
      <c r="AL15" s="616"/>
      <c r="AM15" s="564"/>
      <c r="AN15" s="26"/>
      <c r="AO15" s="26"/>
      <c r="AP15" s="26"/>
      <c r="AQ15" s="26"/>
      <c r="AR15" s="26"/>
      <c r="AS15" s="26"/>
    </row>
    <row r="16" spans="1:45" s="30" customFormat="1" ht="71.25" customHeight="1" x14ac:dyDescent="0.25">
      <c r="B16" s="554" t="s">
        <v>792</v>
      </c>
      <c r="C16" s="554" t="s">
        <v>793</v>
      </c>
      <c r="D16" s="563" t="s">
        <v>794</v>
      </c>
      <c r="E16" s="599" t="s">
        <v>795</v>
      </c>
      <c r="F16" s="599" t="s">
        <v>1359</v>
      </c>
      <c r="G16" s="586" t="s">
        <v>796</v>
      </c>
      <c r="H16" s="554" t="s">
        <v>747</v>
      </c>
      <c r="I16" s="554" t="s">
        <v>748</v>
      </c>
      <c r="J16" s="563" t="s">
        <v>749</v>
      </c>
      <c r="K16" s="563" t="s">
        <v>750</v>
      </c>
      <c r="L16" s="579" t="s">
        <v>751</v>
      </c>
      <c r="M16" s="581" t="s">
        <v>752</v>
      </c>
      <c r="N16" s="563">
        <v>1500</v>
      </c>
      <c r="O16" s="596" t="str">
        <f>IF(N16&lt;=0,"",IF(N16&lt;=2,"Muy Baja",IF(N16&lt;=24,"Baja",IF(N16&lt;=500,"Media",IF(N16&lt;=5000,"Alta","Muy Alta")))))</f>
        <v>Alta</v>
      </c>
      <c r="P16" s="594">
        <f>+VLOOKUP(O16,Probabilidad!$B$5:$C$9,2,FALSE)</f>
        <v>0.8</v>
      </c>
      <c r="Q16" s="554" t="s">
        <v>753</v>
      </c>
      <c r="R16" s="596" t="str">
        <f>+VLOOKUP(Q16,Impacto!$B$5:$D$9,2,FALSE)</f>
        <v>Mayor</v>
      </c>
      <c r="S16" s="594">
        <f>+VLOOKUP(Q16,Impacto!$B$5:$D$9,3,FALSE)</f>
        <v>0.8</v>
      </c>
      <c r="T16" s="594">
        <f>+P16*S16</f>
        <v>0.64000000000000012</v>
      </c>
      <c r="U16" s="567" t="str">
        <f>+IF(T16&lt;=11%,"Bajo",IF(AND(T16&gt;=12%,T16&lt;=39%),"Moderado",IF(AND(T16&gt;=40%,T16&lt;=64%),"Alto",IF(T16&gt;64%,"Extremo",""))))</f>
        <v>Alto</v>
      </c>
      <c r="V16" s="26">
        <v>1</v>
      </c>
      <c r="W16" s="38" t="s">
        <v>797</v>
      </c>
      <c r="X16" s="35" t="str">
        <f t="shared" si="5"/>
        <v>Probabilidad</v>
      </c>
      <c r="Y16" s="42" t="s">
        <v>755</v>
      </c>
      <c r="Z16" s="42" t="s">
        <v>756</v>
      </c>
      <c r="AA16" s="43" t="str">
        <f>IF(AND(Y16="Preventivo",Z16="Automático"),"50%",IF(AND(Y16="Preventivo",Z16="Manual"),"40%",IF(AND(Y16="Detectivo",Z16="Automático"),"40%",IF(AND(Y16="Detectivo",Z16="Manual"),"30%",IF(AND(Y16="Correctivo",Z16="Automático"),"35%",IF(AND(Y16="Correctivo",Z16="Manual"),"25%",""))))))</f>
        <v>40%</v>
      </c>
      <c r="AB16" s="42" t="s">
        <v>738</v>
      </c>
      <c r="AC16" s="42" t="s">
        <v>757</v>
      </c>
      <c r="AD16" s="42" t="s">
        <v>758</v>
      </c>
      <c r="AE16" s="38" t="s">
        <v>1556</v>
      </c>
      <c r="AF16" s="27">
        <f>IFERROR(IF(X16="Probabilidad",(P16-(P16*AA16)),IF(X16="Impacto",P16,"")),"")</f>
        <v>0.48</v>
      </c>
      <c r="AG16" s="37" t="str">
        <f>IFERROR(IF(AF16="","",IF(AF16&lt;=0.2,"Muy Baja",IF(AF16&lt;=0.4,"Baja",IF(AF16&lt;=0.6,"Media",IF(AF16&lt;=0.8,"Alta","Muy Alta"))))),"")</f>
        <v>Media</v>
      </c>
      <c r="AH16" s="27">
        <f>IFERROR(IF(X16="Impacto",(S16-(S16*AA16)),IF(X16="Probabilidad",S16,"")),"")</f>
        <v>0.8</v>
      </c>
      <c r="AI16" s="37" t="str">
        <f>IFERROR(IF(AH16="","",IF(AH16&lt;=0.2,"Leve",IF(AH16&lt;=0.4,"Menor",IF(AH16&lt;=0.6,"Moderado",IF(AH16&lt;=0.8,"Mayor","Catastrófico"))))),"")</f>
        <v>Mayor</v>
      </c>
      <c r="AJ16" s="36">
        <f>+AF16*AH16</f>
        <v>0.38400000000000001</v>
      </c>
      <c r="AK16" s="340" t="str">
        <f>+IF(AJ16&lt;=11%,"Bajo",IF(AND(AJ16&gt;=12%,AJ16&lt;=39%),"Moderado",IF(AND(AJ16&gt;=40%,AJ16&lt;=64%),"Alto",IF(AJ16&gt;64%,"Extremo",""))))</f>
        <v>Moderado</v>
      </c>
      <c r="AL16" s="614" t="str">
        <f>+AK17</f>
        <v>Moderado</v>
      </c>
      <c r="AM16" s="563" t="s">
        <v>759</v>
      </c>
      <c r="AN16" s="45"/>
      <c r="AO16" s="26"/>
      <c r="AP16" s="26"/>
      <c r="AQ16" s="26"/>
      <c r="AR16" s="26"/>
      <c r="AS16" s="26"/>
    </row>
    <row r="17" spans="2:45" s="30" customFormat="1" ht="54.75" customHeight="1" x14ac:dyDescent="0.25">
      <c r="B17" s="566"/>
      <c r="C17" s="566"/>
      <c r="D17" s="598"/>
      <c r="E17" s="600"/>
      <c r="F17" s="600"/>
      <c r="G17" s="587"/>
      <c r="H17" s="566"/>
      <c r="I17" s="566"/>
      <c r="J17" s="598"/>
      <c r="K17" s="598"/>
      <c r="L17" s="585"/>
      <c r="M17" s="590"/>
      <c r="N17" s="598"/>
      <c r="O17" s="602"/>
      <c r="P17" s="601"/>
      <c r="Q17" s="566"/>
      <c r="R17" s="602"/>
      <c r="S17" s="601"/>
      <c r="T17" s="601"/>
      <c r="U17" s="568"/>
      <c r="V17" s="26">
        <v>2</v>
      </c>
      <c r="W17" s="38" t="s">
        <v>798</v>
      </c>
      <c r="X17" s="35" t="str">
        <f t="shared" si="5"/>
        <v>Probabilidad</v>
      </c>
      <c r="Y17" s="42" t="s">
        <v>755</v>
      </c>
      <c r="Z17" s="42" t="s">
        <v>756</v>
      </c>
      <c r="AA17" s="43" t="str">
        <f>IF(AND(Y17="Preventivo",Z17="Automático"),"50%",IF(AND(Y17="Preventivo",Z17="Manual"),"40%",IF(AND(Y17="Detectivo",Z17="Automático"),"40%",IF(AND(Y17="Detectivo",Z17="Manual"),"30%",IF(AND(Y17="Correctivo",Z17="Automático"),"35%",IF(AND(Y17="Correctivo",Z17="Manual"),"25%",""))))))</f>
        <v>40%</v>
      </c>
      <c r="AB17" s="42" t="s">
        <v>738</v>
      </c>
      <c r="AC17" s="42" t="s">
        <v>757</v>
      </c>
      <c r="AD17" s="38" t="s">
        <v>758</v>
      </c>
      <c r="AE17" s="38" t="s">
        <v>1557</v>
      </c>
      <c r="AF17" s="27">
        <f>IFERROR(IF(AND(X16="Probabilidad",X17="Probabilidad"),(AF16-(+AF16*AA17)),IF(X17="Probabilidad",(P16-(P16*AA17)),IF(X17="Impacto",P16,""))),"")</f>
        <v>0.28799999999999998</v>
      </c>
      <c r="AG17" s="37" t="str">
        <f>IFERROR(IF(AF17="","",IF(AF17&lt;=0.2,"Muy Baja",IF(AF17&lt;=0.4,"Baja",IF(AF17&lt;=0.6,"Media",IF(AF17&lt;=0.8,"Alta","Muy Alta"))))),"")</f>
        <v>Baja</v>
      </c>
      <c r="AH17" s="27">
        <f>IFERROR(IF(AND(X16="Impacto",X17="Impacto"),(AH16-(+AH16*AA17)),IF(X17="Impacto",(S16-(+S16*AA17)),IF(X17="Probabilidad",AH16,""))),"")</f>
        <v>0.8</v>
      </c>
      <c r="AI17" s="37" t="str">
        <f>IFERROR(IF(AH17="","",IF(AH17&lt;=0.2,"Leve",IF(AH17&lt;=0.4,"Menor",IF(AH17&lt;=0.6,"Moderado",IF(AH17&lt;=0.8,"Mayor","Catastrófico"))))),"")</f>
        <v>Mayor</v>
      </c>
      <c r="AJ17" s="36">
        <f>+AF17*AH17</f>
        <v>0.23039999999999999</v>
      </c>
      <c r="AK17" s="340" t="str">
        <f>+IF(AJ17&lt;=11%,"Bajo",IF(AND(AJ17&gt;=12%,AJ17&lt;=39%),"Moderado",IF(AND(AJ17&gt;=40%,AJ17&lt;=64%),"Alto",IF(AJ17&gt;64%,"Extremo",""))))</f>
        <v>Moderado</v>
      </c>
      <c r="AL17" s="615"/>
      <c r="AM17" s="598"/>
      <c r="AN17" s="45"/>
      <c r="AO17" s="26"/>
      <c r="AP17" s="26"/>
      <c r="AQ17" s="26"/>
      <c r="AR17" s="26"/>
      <c r="AS17" s="26"/>
    </row>
    <row r="18" spans="2:45" s="30" customFormat="1" ht="64.5" customHeight="1" x14ac:dyDescent="0.25">
      <c r="B18" s="554" t="s">
        <v>792</v>
      </c>
      <c r="C18" s="554" t="s">
        <v>793</v>
      </c>
      <c r="D18" s="563" t="s">
        <v>800</v>
      </c>
      <c r="E18" s="599" t="s">
        <v>801</v>
      </c>
      <c r="F18" s="599" t="s">
        <v>1593</v>
      </c>
      <c r="G18" s="586" t="s">
        <v>802</v>
      </c>
      <c r="H18" s="554" t="s">
        <v>747</v>
      </c>
      <c r="I18" s="554" t="s">
        <v>748</v>
      </c>
      <c r="J18" s="563" t="s">
        <v>784</v>
      </c>
      <c r="K18" s="563" t="s">
        <v>750</v>
      </c>
      <c r="L18" s="579" t="s">
        <v>803</v>
      </c>
      <c r="M18" s="581" t="s">
        <v>752</v>
      </c>
      <c r="N18" s="563">
        <v>25</v>
      </c>
      <c r="O18" s="596" t="str">
        <f>IF(N18&lt;=0,"",IF(N18&lt;=2,"Muy Baja",IF(N18&lt;=24,"Baja",IF(N18&lt;=500,"Media",IF(N18&lt;=5000,"Alta","Muy Alta")))))</f>
        <v>Media</v>
      </c>
      <c r="P18" s="594">
        <f>+VLOOKUP(O18,Probabilidad!$B$5:$C$9,2,FALSE)</f>
        <v>0.6</v>
      </c>
      <c r="Q18" s="554" t="s">
        <v>753</v>
      </c>
      <c r="R18" s="596" t="str">
        <f>+VLOOKUP(Q18,Impacto!$B$5:$D$9,2,FALSE)</f>
        <v>Mayor</v>
      </c>
      <c r="S18" s="594">
        <f>+VLOOKUP(Q18,Impacto!$B$5:$D$9,3,FALSE)</f>
        <v>0.8</v>
      </c>
      <c r="T18" s="594">
        <f>+P18*S18</f>
        <v>0.48</v>
      </c>
      <c r="U18" s="567" t="str">
        <f>+IF(T18&lt;=11%,"Bajo",IF(AND(T18&gt;=12%,T18&lt;=39%),"Moderado",IF(AND(T18&gt;=40%,T18&lt;=64%),"Alto",IF(T18&gt;64%,"Extremo",""))))</f>
        <v>Alto</v>
      </c>
      <c r="V18" s="26">
        <v>1</v>
      </c>
      <c r="W18" s="38" t="s">
        <v>804</v>
      </c>
      <c r="X18" s="35" t="str">
        <f t="shared" si="5"/>
        <v>Probabilidad</v>
      </c>
      <c r="Y18" s="42" t="s">
        <v>755</v>
      </c>
      <c r="Z18" s="42" t="s">
        <v>756</v>
      </c>
      <c r="AA18" s="43" t="str">
        <f>IF(AND(Y18="Preventivo",Z18="Automático"),"50%",IF(AND(Y18="Preventivo",Z18="Manual"),"40%",IF(AND(Y18="Detectivo",Z18="Automático"),"40%",IF(AND(Y18="Detectivo",Z18="Manual"),"30%",IF(AND(Y18="Correctivo",Z18="Automático"),"35%",IF(AND(Y18="Correctivo",Z18="Manual"),"25%",""))))))</f>
        <v>40%</v>
      </c>
      <c r="AB18" s="42" t="s">
        <v>738</v>
      </c>
      <c r="AC18" s="42" t="s">
        <v>757</v>
      </c>
      <c r="AD18" s="42" t="s">
        <v>758</v>
      </c>
      <c r="AE18" s="38" t="s">
        <v>805</v>
      </c>
      <c r="AF18" s="27">
        <f>IFERROR(IF(X18="Probabilidad",(P18-(P18*AA18)),IF(X18="Impacto",P18,"")),"")</f>
        <v>0.36</v>
      </c>
      <c r="AG18" s="37" t="str">
        <f>IFERROR(IF(AF18="","",IF(AF18&lt;=0.2,"Muy Baja",IF(AF18&lt;=0.4,"Baja",IF(AF18&lt;=0.6,"Media",IF(AF18&lt;=0.8,"Alta","Muy Alta"))))),"")</f>
        <v>Baja</v>
      </c>
      <c r="AH18" s="27">
        <f>IFERROR(IF(X18="Impacto",(S18-(S18*AA18)),IF(X18="Probabilidad",S18,"")),"")</f>
        <v>0.8</v>
      </c>
      <c r="AI18" s="37" t="str">
        <f>IFERROR(IF(AH18="","",IF(AH18&lt;=0.2,"Leve",IF(AH18&lt;=0.4,"Menor",IF(AH18&lt;=0.6,"Moderado",IF(AH18&lt;=0.8,"Mayor","Catastrófico"))))),"")</f>
        <v>Mayor</v>
      </c>
      <c r="AJ18" s="36">
        <f>+AF18*AH18</f>
        <v>0.28799999999999998</v>
      </c>
      <c r="AK18" s="340" t="str">
        <f>+IF(AJ18&lt;=11%,"Bajo",IF(AND(AJ18&gt;=12%,AJ18&lt;=39%),"Moderado",IF(AND(AJ18&gt;=40%,AJ18&lt;=64%),"Alto",IF(AJ18&gt;64%,"Extremo",""))))</f>
        <v>Moderado</v>
      </c>
      <c r="AL18" s="614" t="str">
        <f>AK26</f>
        <v>Bajo</v>
      </c>
      <c r="AM18" s="563" t="s">
        <v>1271</v>
      </c>
      <c r="AN18" s="38" t="s">
        <v>1551</v>
      </c>
      <c r="AO18" s="38" t="s">
        <v>1552</v>
      </c>
      <c r="AP18" s="335">
        <v>45443</v>
      </c>
      <c r="AQ18" s="336" t="s">
        <v>762</v>
      </c>
      <c r="AR18" s="38" t="s">
        <v>1553</v>
      </c>
      <c r="AS18" s="41" t="s">
        <v>1554</v>
      </c>
    </row>
    <row r="19" spans="2:45" s="30" customFormat="1" ht="64.5" customHeight="1" x14ac:dyDescent="0.25">
      <c r="B19" s="566"/>
      <c r="C19" s="566"/>
      <c r="D19" s="598"/>
      <c r="E19" s="600"/>
      <c r="F19" s="600"/>
      <c r="G19" s="587"/>
      <c r="H19" s="566"/>
      <c r="I19" s="566"/>
      <c r="J19" s="598"/>
      <c r="K19" s="598"/>
      <c r="L19" s="585"/>
      <c r="M19" s="590"/>
      <c r="N19" s="598"/>
      <c r="O19" s="602"/>
      <c r="P19" s="601"/>
      <c r="Q19" s="566"/>
      <c r="R19" s="602"/>
      <c r="S19" s="601"/>
      <c r="T19" s="601"/>
      <c r="U19" s="568"/>
      <c r="V19" s="26">
        <v>2</v>
      </c>
      <c r="W19" s="38" t="s">
        <v>806</v>
      </c>
      <c r="X19" s="35" t="str">
        <f t="shared" ref="X19:X25" si="8">IF(OR(Y19="Preventivo",Y19="Detectivo"),"Probabilidad",IF(Y19="Correctivo","Impacto",""))</f>
        <v>Probabilidad</v>
      </c>
      <c r="Y19" s="42" t="s">
        <v>755</v>
      </c>
      <c r="Z19" s="42" t="s">
        <v>756</v>
      </c>
      <c r="AA19" s="43" t="str">
        <f t="shared" ref="AA19:AA25" si="9">IF(AND(Y19="Preventivo",Z19="Automático"),"50%",IF(AND(Y19="Preventivo",Z19="Manual"),"40%",IF(AND(Y19="Detectivo",Z19="Automático"),"40%",IF(AND(Y19="Detectivo",Z19="Manual"),"30%",IF(AND(Y19="Correctivo",Z19="Automático"),"35%",IF(AND(Y19="Correctivo",Z19="Manual"),"25%",""))))))</f>
        <v>40%</v>
      </c>
      <c r="AB19" s="42" t="s">
        <v>738</v>
      </c>
      <c r="AC19" s="42" t="s">
        <v>757</v>
      </c>
      <c r="AD19" s="42" t="s">
        <v>758</v>
      </c>
      <c r="AE19" s="38" t="s">
        <v>1594</v>
      </c>
      <c r="AF19" s="27">
        <f>IFERROR(IF(AND(X18="Probabilidad",X19="Probabilidad"),(AF18-(+AF18*AA19)),IF(X19="Probabilidad",(P18-(P18*AA19)),IF(X19="Impacto",P18,""))),"")</f>
        <v>0.216</v>
      </c>
      <c r="AG19" s="37" t="str">
        <f t="shared" ref="AG19:AG25" si="10">IFERROR(IF(AF19="","",IF(AF19&lt;=0.2,"Muy Baja",IF(AF19&lt;=0.4,"Baja",IF(AF19&lt;=0.6,"Media",IF(AF19&lt;=0.8,"Alta","Muy Alta"))))),"")</f>
        <v>Baja</v>
      </c>
      <c r="AH19" s="27">
        <f>IFERROR(IF(AND(X18="Impacto",X19="Impacto"),(AH18-(+AH18*AA19)),IF(X19="Impacto",(S18-(+S18*AA19)),IF(X19="Probabilidad",AH18,""))),"")</f>
        <v>0.8</v>
      </c>
      <c r="AI19" s="37" t="str">
        <f t="shared" ref="AI19:AI25" si="11">IFERROR(IF(AH19="","",IF(AH19&lt;=0.2,"Leve",IF(AH19&lt;=0.4,"Menor",IF(AH19&lt;=0.6,"Moderado",IF(AH19&lt;=0.8,"Mayor","Catastrófico"))))),"")</f>
        <v>Mayor</v>
      </c>
      <c r="AJ19" s="36">
        <f t="shared" ref="AJ19:AJ25" si="12">+AF19*AH19</f>
        <v>0.17280000000000001</v>
      </c>
      <c r="AK19" s="340" t="str">
        <f t="shared" ref="AK19:AK25" si="13">+IF(AJ19&lt;=11%,"Bajo",IF(AND(AJ19&gt;=12%,AJ19&lt;=39%),"Moderado",IF(AND(AJ19&gt;=40%,AJ19&lt;=64%),"Alto",IF(AJ19&gt;64%,"Extremo",""))))</f>
        <v>Moderado</v>
      </c>
      <c r="AL19" s="615"/>
      <c r="AM19" s="598"/>
      <c r="AN19" s="38"/>
      <c r="AO19" s="38"/>
      <c r="AP19" s="335"/>
      <c r="AQ19" s="336"/>
      <c r="AR19" s="38"/>
      <c r="AS19" s="41"/>
    </row>
    <row r="20" spans="2:45" s="30" customFormat="1" ht="64.5" customHeight="1" x14ac:dyDescent="0.25">
      <c r="B20" s="566"/>
      <c r="C20" s="566"/>
      <c r="D20" s="598"/>
      <c r="E20" s="600"/>
      <c r="F20" s="600"/>
      <c r="G20" s="587"/>
      <c r="H20" s="566"/>
      <c r="I20" s="566"/>
      <c r="J20" s="598"/>
      <c r="K20" s="598"/>
      <c r="L20" s="585"/>
      <c r="M20" s="590"/>
      <c r="N20" s="598"/>
      <c r="O20" s="602"/>
      <c r="P20" s="601"/>
      <c r="Q20" s="566"/>
      <c r="R20" s="602"/>
      <c r="S20" s="601"/>
      <c r="T20" s="601"/>
      <c r="U20" s="568"/>
      <c r="V20" s="26">
        <v>3</v>
      </c>
      <c r="W20" s="342" t="s">
        <v>807</v>
      </c>
      <c r="X20" s="35" t="str">
        <f t="shared" si="8"/>
        <v>Probabilidad</v>
      </c>
      <c r="Y20" s="42" t="s">
        <v>755</v>
      </c>
      <c r="Z20" s="42" t="s">
        <v>756</v>
      </c>
      <c r="AA20" s="43" t="str">
        <f t="shared" si="9"/>
        <v>40%</v>
      </c>
      <c r="AB20" s="42" t="s">
        <v>738</v>
      </c>
      <c r="AC20" s="42" t="s">
        <v>757</v>
      </c>
      <c r="AD20" s="42" t="s">
        <v>758</v>
      </c>
      <c r="AE20" s="38" t="s">
        <v>1595</v>
      </c>
      <c r="AF20" s="27">
        <f>IFERROR(IF(AND(X19="Probabilidad",X20="Probabilidad"),(AF19-(+AF19*AA20)),IF(X20="Probabilidad",(P18-(P18*AA20)),IF(X20="Impacto",P18,""))),"")</f>
        <v>0.12959999999999999</v>
      </c>
      <c r="AG20" s="37" t="str">
        <f t="shared" si="10"/>
        <v>Muy Baja</v>
      </c>
      <c r="AH20" s="27">
        <f>IFERROR(IF(AND(X19="Impacto",X20="Impacto"),(AH19-(+AH19*AA20)),IF(X20="Impacto",(S18-(+S18*AA20)),IF(X20="Probabilidad",AH19,""))),"")</f>
        <v>0.8</v>
      </c>
      <c r="AI20" s="37" t="str">
        <f t="shared" si="11"/>
        <v>Mayor</v>
      </c>
      <c r="AJ20" s="36">
        <f t="shared" si="12"/>
        <v>0.10367999999999999</v>
      </c>
      <c r="AK20" s="340" t="str">
        <f t="shared" si="13"/>
        <v>Bajo</v>
      </c>
      <c r="AL20" s="615"/>
      <c r="AM20" s="598"/>
      <c r="AN20" s="38"/>
      <c r="AO20" s="38"/>
      <c r="AP20" s="335"/>
      <c r="AQ20" s="336"/>
      <c r="AR20" s="38"/>
      <c r="AS20" s="41"/>
    </row>
    <row r="21" spans="2:45" s="30" customFormat="1" ht="64.5" customHeight="1" x14ac:dyDescent="0.25">
      <c r="B21" s="566"/>
      <c r="C21" s="566"/>
      <c r="D21" s="598"/>
      <c r="E21" s="600"/>
      <c r="F21" s="600"/>
      <c r="G21" s="587"/>
      <c r="H21" s="566"/>
      <c r="I21" s="566"/>
      <c r="J21" s="598"/>
      <c r="K21" s="598"/>
      <c r="L21" s="585"/>
      <c r="M21" s="590"/>
      <c r="N21" s="598"/>
      <c r="O21" s="602"/>
      <c r="P21" s="601"/>
      <c r="Q21" s="566"/>
      <c r="R21" s="602"/>
      <c r="S21" s="601"/>
      <c r="T21" s="601"/>
      <c r="U21" s="568"/>
      <c r="V21" s="26">
        <v>4</v>
      </c>
      <c r="W21" s="28" t="s">
        <v>808</v>
      </c>
      <c r="X21" s="35" t="str">
        <f t="shared" si="8"/>
        <v>Probabilidad</v>
      </c>
      <c r="Y21" s="42" t="s">
        <v>755</v>
      </c>
      <c r="Z21" s="42" t="s">
        <v>756</v>
      </c>
      <c r="AA21" s="43" t="str">
        <f t="shared" si="9"/>
        <v>40%</v>
      </c>
      <c r="AB21" s="42" t="s">
        <v>738</v>
      </c>
      <c r="AC21" s="42" t="s">
        <v>757</v>
      </c>
      <c r="AD21" s="42" t="s">
        <v>758</v>
      </c>
      <c r="AE21" s="38" t="s">
        <v>809</v>
      </c>
      <c r="AF21" s="27">
        <f>IFERROR(IF(AND(X20="Probabilidad",X21="Probabilidad"),(AF20-(+AF20*AA21)),IF(X21="Probabilidad",(P18-(P18*AA21)),IF(X21="Impacto",P18,""))),"")</f>
        <v>7.7759999999999996E-2</v>
      </c>
      <c r="AG21" s="37" t="str">
        <f t="shared" si="10"/>
        <v>Muy Baja</v>
      </c>
      <c r="AH21" s="27">
        <f>IFERROR(IF(AND(X20="Impacto",X21="Impacto"),(AH20-(+AH20*AA21)),IF(X21="Impacto",(TS18-(+S18*AA21)),IF(X21="Probabilidad",AH20,""))),"")</f>
        <v>0.8</v>
      </c>
      <c r="AI21" s="37" t="str">
        <f t="shared" si="11"/>
        <v>Mayor</v>
      </c>
      <c r="AJ21" s="36">
        <f t="shared" si="12"/>
        <v>6.2207999999999999E-2</v>
      </c>
      <c r="AK21" s="340" t="str">
        <f t="shared" si="13"/>
        <v>Bajo</v>
      </c>
      <c r="AL21" s="615"/>
      <c r="AM21" s="598"/>
      <c r="AN21" s="38"/>
      <c r="AO21" s="38"/>
      <c r="AP21" s="335"/>
      <c r="AQ21" s="336"/>
      <c r="AR21" s="38"/>
      <c r="AS21" s="41"/>
    </row>
    <row r="22" spans="2:45" s="30" customFormat="1" ht="64.5" customHeight="1" x14ac:dyDescent="0.25">
      <c r="B22" s="566"/>
      <c r="C22" s="566"/>
      <c r="D22" s="598"/>
      <c r="E22" s="600"/>
      <c r="F22" s="600"/>
      <c r="G22" s="587"/>
      <c r="H22" s="566"/>
      <c r="I22" s="566"/>
      <c r="J22" s="598"/>
      <c r="K22" s="598"/>
      <c r="L22" s="585"/>
      <c r="M22" s="590"/>
      <c r="N22" s="598"/>
      <c r="O22" s="602"/>
      <c r="P22" s="601"/>
      <c r="Q22" s="566"/>
      <c r="R22" s="602"/>
      <c r="S22" s="601"/>
      <c r="T22" s="601"/>
      <c r="U22" s="568"/>
      <c r="V22" s="26">
        <v>5</v>
      </c>
      <c r="W22" s="342" t="s">
        <v>810</v>
      </c>
      <c r="X22" s="35" t="str">
        <f t="shared" si="8"/>
        <v>Probabilidad</v>
      </c>
      <c r="Y22" s="42" t="s">
        <v>755</v>
      </c>
      <c r="Z22" s="42" t="s">
        <v>756</v>
      </c>
      <c r="AA22" s="43" t="str">
        <f t="shared" si="9"/>
        <v>40%</v>
      </c>
      <c r="AB22" s="42" t="s">
        <v>738</v>
      </c>
      <c r="AC22" s="42" t="s">
        <v>757</v>
      </c>
      <c r="AD22" s="42" t="s">
        <v>758</v>
      </c>
      <c r="AE22" s="38" t="s">
        <v>811</v>
      </c>
      <c r="AF22" s="27">
        <f>IFERROR(IF(AND(X21="Probabilidad",X22="Probabilidad"),(AF21-(+AF21*AA22)),IF(X22="Probabilidad",(P18-(P18*AA22)),IF(X22="Impacto",P18,""))),"")</f>
        <v>4.6655999999999996E-2</v>
      </c>
      <c r="AG22" s="37" t="str">
        <f t="shared" si="10"/>
        <v>Muy Baja</v>
      </c>
      <c r="AH22" s="27">
        <f>IFERROR(IF(AND(X21="Impacto",X22="Impacto"),(AH21-(+AH21*AA22)),IF(X22="Impacto",(S18-(+S18*AA22)),IF(X22="Probabilidad",AH21,""))),"")</f>
        <v>0.8</v>
      </c>
      <c r="AI22" s="37" t="str">
        <f t="shared" si="11"/>
        <v>Mayor</v>
      </c>
      <c r="AJ22" s="36">
        <f t="shared" si="12"/>
        <v>3.7324799999999998E-2</v>
      </c>
      <c r="AK22" s="340" t="str">
        <f t="shared" si="13"/>
        <v>Bajo</v>
      </c>
      <c r="AL22" s="615"/>
      <c r="AM22" s="598"/>
      <c r="AN22" s="38"/>
      <c r="AO22" s="38"/>
      <c r="AP22" s="335"/>
      <c r="AQ22" s="336"/>
      <c r="AR22" s="38"/>
      <c r="AS22" s="41"/>
    </row>
    <row r="23" spans="2:45" s="30" customFormat="1" ht="64.5" customHeight="1" x14ac:dyDescent="0.25">
      <c r="B23" s="566"/>
      <c r="C23" s="566"/>
      <c r="D23" s="598"/>
      <c r="E23" s="600"/>
      <c r="F23" s="600"/>
      <c r="G23" s="587"/>
      <c r="H23" s="566"/>
      <c r="I23" s="566"/>
      <c r="J23" s="598"/>
      <c r="K23" s="598"/>
      <c r="L23" s="585"/>
      <c r="M23" s="590"/>
      <c r="N23" s="598"/>
      <c r="O23" s="602"/>
      <c r="P23" s="601"/>
      <c r="Q23" s="566"/>
      <c r="R23" s="602"/>
      <c r="S23" s="601"/>
      <c r="T23" s="601"/>
      <c r="U23" s="568"/>
      <c r="V23" s="26">
        <v>6</v>
      </c>
      <c r="W23" s="342" t="s">
        <v>812</v>
      </c>
      <c r="X23" s="35" t="str">
        <f t="shared" si="8"/>
        <v>Probabilidad</v>
      </c>
      <c r="Y23" s="42" t="s">
        <v>755</v>
      </c>
      <c r="Z23" s="42" t="s">
        <v>756</v>
      </c>
      <c r="AA23" s="43" t="str">
        <f t="shared" si="9"/>
        <v>40%</v>
      </c>
      <c r="AB23" s="42" t="s">
        <v>738</v>
      </c>
      <c r="AC23" s="42" t="s">
        <v>757</v>
      </c>
      <c r="AD23" s="42" t="s">
        <v>758</v>
      </c>
      <c r="AE23" s="38" t="s">
        <v>811</v>
      </c>
      <c r="AF23" s="27">
        <f>IFERROR(IF(AND(X22="Probabilidad",X23="Probabilidad"),(AF22-(+AF22*AA23)),IF(X23="Probabilidad",(P18-(P18*AA23)),IF(X23="Impacto",P18,""))),"")</f>
        <v>2.7993599999999997E-2</v>
      </c>
      <c r="AG23" s="37" t="str">
        <f t="shared" si="10"/>
        <v>Muy Baja</v>
      </c>
      <c r="AH23" s="27">
        <f>IFERROR(IF(AND(X22="Impacto",X23="Impacto"),(AH22-(+AH22*AA23)),IF(X23="Impacto",(S18-(+S18*AA23)),IF(X23="Probabilidad",AH22,""))),"")</f>
        <v>0.8</v>
      </c>
      <c r="AI23" s="37" t="str">
        <f t="shared" si="11"/>
        <v>Mayor</v>
      </c>
      <c r="AJ23" s="36">
        <f t="shared" si="12"/>
        <v>2.2394879999999999E-2</v>
      </c>
      <c r="AK23" s="340" t="str">
        <f t="shared" si="13"/>
        <v>Bajo</v>
      </c>
      <c r="AL23" s="615"/>
      <c r="AM23" s="598"/>
      <c r="AN23" s="38"/>
      <c r="AO23" s="38"/>
      <c r="AP23" s="335"/>
      <c r="AQ23" s="336"/>
      <c r="AR23" s="38"/>
      <c r="AS23" s="41"/>
    </row>
    <row r="24" spans="2:45" s="30" customFormat="1" ht="48.75" customHeight="1" x14ac:dyDescent="0.25">
      <c r="B24" s="566"/>
      <c r="C24" s="566"/>
      <c r="D24" s="598"/>
      <c r="E24" s="600"/>
      <c r="F24" s="600"/>
      <c r="G24" s="587"/>
      <c r="H24" s="566"/>
      <c r="I24" s="566"/>
      <c r="J24" s="598"/>
      <c r="K24" s="598"/>
      <c r="L24" s="585"/>
      <c r="M24" s="590"/>
      <c r="N24" s="598"/>
      <c r="O24" s="602"/>
      <c r="P24" s="601"/>
      <c r="Q24" s="566"/>
      <c r="R24" s="602" t="e">
        <f>+VLOOKUP(Q24,Impacto!$B$5:$D$9,2,FALSE)</f>
        <v>#N/A</v>
      </c>
      <c r="S24" s="601" t="e">
        <f>+VLOOKUP(Q24,Impacto!$B$5:$D$9,3,FALSE)</f>
        <v>#N/A</v>
      </c>
      <c r="T24" s="601"/>
      <c r="U24" s="568" t="str">
        <f>+IF(T24&lt;=11%,"Bajo",IF(AND(T24&gt;=12%,T24&lt;=39%),"Moderado",IF(AND(T24&gt;=40%,T24&lt;=64%),"Alto",IF(T24&gt;64%,"Extremo",""))))</f>
        <v>Bajo</v>
      </c>
      <c r="V24" s="26">
        <v>7</v>
      </c>
      <c r="W24" s="342" t="s">
        <v>813</v>
      </c>
      <c r="X24" s="35" t="str">
        <f t="shared" si="8"/>
        <v>Probabilidad</v>
      </c>
      <c r="Y24" s="42" t="s">
        <v>755</v>
      </c>
      <c r="Z24" s="42" t="s">
        <v>756</v>
      </c>
      <c r="AA24" s="43" t="str">
        <f t="shared" si="9"/>
        <v>40%</v>
      </c>
      <c r="AB24" s="42" t="s">
        <v>738</v>
      </c>
      <c r="AC24" s="42" t="s">
        <v>757</v>
      </c>
      <c r="AD24" s="42" t="s">
        <v>758</v>
      </c>
      <c r="AE24" s="38" t="s">
        <v>814</v>
      </c>
      <c r="AF24" s="27">
        <f>IFERROR(IF(AND(X23="Probabilidad",X24="Probabilidad"),(AF23-(+AF23*AA24)),IF(X24="Probabilidad",(P18-(P18*AA24)),IF(X24="Impacto",P18,""))),"")</f>
        <v>1.6796159999999997E-2</v>
      </c>
      <c r="AG24" s="37" t="str">
        <f t="shared" si="10"/>
        <v>Muy Baja</v>
      </c>
      <c r="AH24" s="27">
        <f>IFERROR(IF(AND(X23="Impacto",X24="Impacto"),(AH23-(+AH23*AA24)),IF(X24="Impacto",(S18-(+S18*AA24)),IF(X24="Probabilidad",AH23,""))),"")</f>
        <v>0.8</v>
      </c>
      <c r="AI24" s="37" t="str">
        <f t="shared" si="11"/>
        <v>Mayor</v>
      </c>
      <c r="AJ24" s="36">
        <f t="shared" si="12"/>
        <v>1.3436927999999999E-2</v>
      </c>
      <c r="AK24" s="340" t="str">
        <f t="shared" si="13"/>
        <v>Bajo</v>
      </c>
      <c r="AL24" s="615"/>
      <c r="AM24" s="598"/>
      <c r="AN24" s="45"/>
      <c r="AO24" s="26"/>
      <c r="AP24" s="26"/>
      <c r="AQ24" s="26"/>
      <c r="AR24" s="26"/>
      <c r="AS24" s="26"/>
    </row>
    <row r="25" spans="2:45" s="30" customFormat="1" ht="48.75" customHeight="1" x14ac:dyDescent="0.25">
      <c r="B25" s="566"/>
      <c r="C25" s="566"/>
      <c r="D25" s="598"/>
      <c r="E25" s="600"/>
      <c r="F25" s="600"/>
      <c r="G25" s="587"/>
      <c r="H25" s="566"/>
      <c r="I25" s="566"/>
      <c r="J25" s="598"/>
      <c r="K25" s="598"/>
      <c r="L25" s="585"/>
      <c r="M25" s="590"/>
      <c r="N25" s="598"/>
      <c r="O25" s="602"/>
      <c r="P25" s="601"/>
      <c r="Q25" s="566"/>
      <c r="R25" s="602"/>
      <c r="S25" s="601"/>
      <c r="T25" s="601"/>
      <c r="U25" s="568"/>
      <c r="V25" s="26">
        <v>8</v>
      </c>
      <c r="W25" s="31" t="s">
        <v>815</v>
      </c>
      <c r="X25" s="35" t="str">
        <f t="shared" si="8"/>
        <v>Probabilidad</v>
      </c>
      <c r="Y25" s="42" t="s">
        <v>755</v>
      </c>
      <c r="Z25" s="42" t="s">
        <v>756</v>
      </c>
      <c r="AA25" s="43" t="str">
        <f t="shared" si="9"/>
        <v>40%</v>
      </c>
      <c r="AB25" s="42" t="s">
        <v>738</v>
      </c>
      <c r="AC25" s="42" t="s">
        <v>757</v>
      </c>
      <c r="AD25" s="42" t="s">
        <v>758</v>
      </c>
      <c r="AE25" s="38" t="s">
        <v>811</v>
      </c>
      <c r="AF25" s="27">
        <f>IFERROR(IF(AND(X24="Probabilidad",X25="Probabilidad"),(AF24-(+AF24*AA25)),IF(X25="Probabilidad",(P18-(P18*AA25)),IF(X25="Impacto",P18,""))),"")</f>
        <v>1.0077695999999997E-2</v>
      </c>
      <c r="AG25" s="37" t="str">
        <f t="shared" si="10"/>
        <v>Muy Baja</v>
      </c>
      <c r="AH25" s="27">
        <f>IFERROR(IF(AND(X24="Impacto",X25="Impacto"),(AH24-(+AH24*AA25)),IF(X25="Impacto",(S18-(+S18*AA25)),IF(X25="Probabilidad",AH24,""))),"")</f>
        <v>0.8</v>
      </c>
      <c r="AI25" s="37" t="str">
        <f t="shared" si="11"/>
        <v>Mayor</v>
      </c>
      <c r="AJ25" s="36">
        <f t="shared" si="12"/>
        <v>8.0621567999999977E-3</v>
      </c>
      <c r="AK25" s="340" t="str">
        <f t="shared" si="13"/>
        <v>Bajo</v>
      </c>
      <c r="AL25" s="615"/>
      <c r="AM25" s="598"/>
      <c r="AN25" s="45"/>
      <c r="AO25" s="26"/>
      <c r="AP25" s="26"/>
      <c r="AQ25" s="26"/>
      <c r="AR25" s="26"/>
      <c r="AS25" s="26"/>
    </row>
    <row r="26" spans="2:45" s="30" customFormat="1" ht="60.75" customHeight="1" x14ac:dyDescent="0.25">
      <c r="B26" s="555"/>
      <c r="C26" s="555"/>
      <c r="D26" s="564"/>
      <c r="E26" s="603"/>
      <c r="F26" s="603"/>
      <c r="G26" s="588"/>
      <c r="H26" s="555"/>
      <c r="I26" s="555"/>
      <c r="J26" s="564"/>
      <c r="K26" s="564"/>
      <c r="L26" s="580"/>
      <c r="M26" s="582"/>
      <c r="N26" s="564"/>
      <c r="O26" s="597"/>
      <c r="P26" s="595"/>
      <c r="Q26" s="555"/>
      <c r="R26" s="597" t="e">
        <f>+VLOOKUP(Q26,Impacto!$B$5:$D$9,2,FALSE)</f>
        <v>#N/A</v>
      </c>
      <c r="S26" s="595" t="e">
        <f>+VLOOKUP(Q26,Impacto!$B$5:$D$9,3,FALSE)</f>
        <v>#N/A</v>
      </c>
      <c r="T26" s="595"/>
      <c r="U26" s="569" t="str">
        <f>+IF(T26&lt;=11%,"Bajo",IF(AND(T26&gt;=12%,T26&lt;=39%),"Moderado",IF(AND(T26&gt;=40%,T26&lt;=64%),"Alto",IF(T26&gt;64%,"Extremo",""))))</f>
        <v>Bajo</v>
      </c>
      <c r="V26" s="26">
        <v>9</v>
      </c>
      <c r="W26" s="38" t="s">
        <v>787</v>
      </c>
      <c r="X26" s="35" t="str">
        <f t="shared" ref="X26:X32" si="14">IF(OR(Y26="Preventivo",Y26="Detectivo"),"Probabilidad",IF(Y26="Correctivo","Impacto",""))</f>
        <v>Probabilidad</v>
      </c>
      <c r="Y26" s="42" t="s">
        <v>755</v>
      </c>
      <c r="Z26" s="42" t="s">
        <v>756</v>
      </c>
      <c r="AA26" s="43" t="str">
        <f t="shared" ref="AA26:AA32" si="15">IF(AND(Y26="Preventivo",Z26="Automático"),"50%",IF(AND(Y26="Preventivo",Z26="Manual"),"40%",IF(AND(Y26="Detectivo",Z26="Automático"),"40%",IF(AND(Y26="Detectivo",Z26="Manual"),"30%",IF(AND(Y26="Correctivo",Z26="Automático"),"35%",IF(AND(Y26="Correctivo",Z26="Manual"),"25%",""))))))</f>
        <v>40%</v>
      </c>
      <c r="AB26" s="42" t="s">
        <v>738</v>
      </c>
      <c r="AC26" s="42" t="s">
        <v>757</v>
      </c>
      <c r="AD26" s="42" t="s">
        <v>758</v>
      </c>
      <c r="AE26" s="38" t="s">
        <v>1432</v>
      </c>
      <c r="AF26" s="27">
        <f>IFERROR(IF(AND(X25="Probabilidad",X26="Probabilidad"),(AF25-(+AF25*AA26)),IF(X26="Probabilidad",(P18-(P18*AA26)),IF(X26="Impacto",P18,""))),"")</f>
        <v>6.0466175999999983E-3</v>
      </c>
      <c r="AG26" s="37" t="str">
        <f t="shared" ref="AG26:AG32" si="16">IFERROR(IF(AF26="","",IF(AF26&lt;=0.2,"Muy Baja",IF(AF26&lt;=0.4,"Baja",IF(AF26&lt;=0.6,"Media",IF(AF26&lt;=0.8,"Alta","Muy Alta"))))),"")</f>
        <v>Muy Baja</v>
      </c>
      <c r="AH26" s="27">
        <f>IFERROR(IF(AND(X25="Impacto",X26="Impacto"),(AH25-(+AH25*AA26)),IF(X26="Impacto",(S18-(+S18*AA26)),IF(X26="Probabilidad",AH25,""))),"")</f>
        <v>0.8</v>
      </c>
      <c r="AI26" s="37" t="str">
        <f t="shared" ref="AI26:AI32" si="17">IFERROR(IF(AH26="","",IF(AH26&lt;=0.2,"Leve",IF(AH26&lt;=0.4,"Menor",IF(AH26&lt;=0.6,"Moderado",IF(AH26&lt;=0.8,"Mayor","Catastrófico"))))),"")</f>
        <v>Mayor</v>
      </c>
      <c r="AJ26" s="36">
        <f t="shared" ref="AJ26:AJ32" si="18">+AF26*AH26</f>
        <v>4.8372940799999986E-3</v>
      </c>
      <c r="AK26" s="340" t="str">
        <f t="shared" ref="AK26:AK32" si="19">+IF(AJ26&lt;=11%,"Bajo",IF(AND(AJ26&gt;=12%,AJ26&lt;=39%),"Moderado",IF(AND(AJ26&gt;=40%,AJ26&lt;=64%),"Alto",IF(AJ26&gt;64%,"Extremo",""))))</f>
        <v>Bajo</v>
      </c>
      <c r="AL26" s="616"/>
      <c r="AM26" s="564"/>
      <c r="AN26" s="26"/>
      <c r="AO26" s="26"/>
      <c r="AP26" s="26"/>
      <c r="AQ26" s="26"/>
      <c r="AR26" s="26"/>
      <c r="AS26" s="26"/>
    </row>
    <row r="27" spans="2:45" s="30" customFormat="1" ht="64.5" customHeight="1" x14ac:dyDescent="0.25">
      <c r="B27" s="554" t="s">
        <v>792</v>
      </c>
      <c r="C27" s="554" t="s">
        <v>793</v>
      </c>
      <c r="D27" s="563" t="s">
        <v>816</v>
      </c>
      <c r="E27" s="554" t="s">
        <v>817</v>
      </c>
      <c r="F27" s="579" t="s">
        <v>1596</v>
      </c>
      <c r="G27" s="586" t="s">
        <v>818</v>
      </c>
      <c r="H27" s="554" t="s">
        <v>747</v>
      </c>
      <c r="I27" s="554" t="s">
        <v>748</v>
      </c>
      <c r="J27" s="563" t="s">
        <v>749</v>
      </c>
      <c r="K27" s="563" t="s">
        <v>750</v>
      </c>
      <c r="L27" s="579" t="s">
        <v>785</v>
      </c>
      <c r="M27" s="581" t="s">
        <v>752</v>
      </c>
      <c r="N27" s="563">
        <v>2900</v>
      </c>
      <c r="O27" s="596" t="str">
        <f>IF(N27&lt;=0,"",IF(N27&lt;=2,"Muy Baja",IF(N27&lt;=24,"Baja",IF(N27&lt;=500,"Media",IF(N27&lt;=5000,"Alta","Muy Alta")))))</f>
        <v>Alta</v>
      </c>
      <c r="P27" s="594">
        <f>+VLOOKUP(O27,Probabilidad!$B$5:$C$9,2,FALSE)</f>
        <v>0.8</v>
      </c>
      <c r="Q27" s="554" t="s">
        <v>770</v>
      </c>
      <c r="R27" s="596" t="str">
        <f>+VLOOKUP(Q27,Impacto!$B$5:$D$9,2,FALSE)</f>
        <v>Moderado</v>
      </c>
      <c r="S27" s="594">
        <f>+VLOOKUP(Q27,Impacto!$B$5:$D$9,3,FALSE)</f>
        <v>0.6</v>
      </c>
      <c r="T27" s="594">
        <f>+P27*S27</f>
        <v>0.48</v>
      </c>
      <c r="U27" s="567" t="str">
        <f>+IF(T27&lt;=11%,"Bajo",IF(AND(T27&gt;=12%,T27&lt;=39%),"Moderado",IF(AND(T27&gt;=40%,T27&lt;=64%),"Alto",IF(T27&gt;64%,"Extremo",""))))</f>
        <v>Alto</v>
      </c>
      <c r="V27" s="26">
        <v>1</v>
      </c>
      <c r="W27" s="38" t="s">
        <v>819</v>
      </c>
      <c r="X27" s="35" t="str">
        <f t="shared" si="14"/>
        <v>Probabilidad</v>
      </c>
      <c r="Y27" s="42" t="s">
        <v>755</v>
      </c>
      <c r="Z27" s="42" t="s">
        <v>756</v>
      </c>
      <c r="AA27" s="43" t="str">
        <f t="shared" si="15"/>
        <v>40%</v>
      </c>
      <c r="AB27" s="42" t="s">
        <v>738</v>
      </c>
      <c r="AC27" s="42" t="s">
        <v>757</v>
      </c>
      <c r="AD27" s="42" t="s">
        <v>758</v>
      </c>
      <c r="AE27" s="38" t="s">
        <v>820</v>
      </c>
      <c r="AF27" s="27">
        <f>IFERROR(IF(X27="Probabilidad",(P27-(P27*AA27)),IF(X27="Impacto",P27,"")),"")</f>
        <v>0.48</v>
      </c>
      <c r="AG27" s="37" t="str">
        <f t="shared" si="16"/>
        <v>Media</v>
      </c>
      <c r="AH27" s="27">
        <f>IFERROR(IF(X27="Impacto",(S27-(S27*AA27)),IF(X27="Probabilidad",S27,"")),"")</f>
        <v>0.6</v>
      </c>
      <c r="AI27" s="37" t="str">
        <f t="shared" si="17"/>
        <v>Moderado</v>
      </c>
      <c r="AJ27" s="36">
        <f t="shared" si="18"/>
        <v>0.28799999999999998</v>
      </c>
      <c r="AK27" s="340" t="str">
        <f t="shared" si="19"/>
        <v>Moderado</v>
      </c>
      <c r="AL27" s="614" t="str">
        <f>+AK30</f>
        <v>Bajo</v>
      </c>
      <c r="AM27" s="563" t="s">
        <v>759</v>
      </c>
      <c r="AN27" s="38" t="s">
        <v>1551</v>
      </c>
      <c r="AO27" s="38" t="s">
        <v>1552</v>
      </c>
      <c r="AP27" s="335">
        <v>45443</v>
      </c>
      <c r="AQ27" s="336" t="s">
        <v>762</v>
      </c>
      <c r="AR27" s="38" t="s">
        <v>1553</v>
      </c>
      <c r="AS27" s="41" t="s">
        <v>1554</v>
      </c>
    </row>
    <row r="28" spans="2:45" s="30" customFormat="1" ht="64.5" customHeight="1" x14ac:dyDescent="0.25">
      <c r="B28" s="566"/>
      <c r="C28" s="566"/>
      <c r="D28" s="598"/>
      <c r="E28" s="566"/>
      <c r="F28" s="585"/>
      <c r="G28" s="587"/>
      <c r="H28" s="566"/>
      <c r="I28" s="566"/>
      <c r="J28" s="598"/>
      <c r="K28" s="598"/>
      <c r="L28" s="585"/>
      <c r="M28" s="590"/>
      <c r="N28" s="598"/>
      <c r="O28" s="602"/>
      <c r="P28" s="601"/>
      <c r="Q28" s="566"/>
      <c r="R28" s="602"/>
      <c r="S28" s="601"/>
      <c r="T28" s="601"/>
      <c r="U28" s="568"/>
      <c r="V28" s="26">
        <v>2</v>
      </c>
      <c r="W28" s="39" t="s">
        <v>821</v>
      </c>
      <c r="X28" s="35" t="str">
        <f t="shared" si="14"/>
        <v>Probabilidad</v>
      </c>
      <c r="Y28" s="42" t="s">
        <v>755</v>
      </c>
      <c r="Z28" s="42" t="s">
        <v>756</v>
      </c>
      <c r="AA28" s="43" t="str">
        <f t="shared" si="15"/>
        <v>40%</v>
      </c>
      <c r="AB28" s="42" t="s">
        <v>738</v>
      </c>
      <c r="AC28" s="42" t="s">
        <v>757</v>
      </c>
      <c r="AD28" s="42" t="s">
        <v>758</v>
      </c>
      <c r="AE28" s="39" t="s">
        <v>822</v>
      </c>
      <c r="AF28" s="27">
        <f>IFERROR(IF(AND(X27="Probabilidad",X28="Probabilidad"),(AF27-(+AF27*AA28)),IF(X28="Probabilidad",(P27-(P27*AA28)),IF(X28="Impacto",P27,""))),"")</f>
        <v>0.28799999999999998</v>
      </c>
      <c r="AG28" s="37" t="str">
        <f t="shared" si="16"/>
        <v>Baja</v>
      </c>
      <c r="AH28" s="27">
        <f>IFERROR(IF(AND(X27="Impacto",X28="Impacto"),(AH27-(+AH27*AA28)),IF(X28="Impacto",(S27-(+S27*AA28)),IF(X28="Probabilidad",AH27,""))),"")</f>
        <v>0.6</v>
      </c>
      <c r="AI28" s="37" t="str">
        <f t="shared" si="17"/>
        <v>Moderado</v>
      </c>
      <c r="AJ28" s="36">
        <f t="shared" si="18"/>
        <v>0.17279999999999998</v>
      </c>
      <c r="AK28" s="340" t="str">
        <f t="shared" si="19"/>
        <v>Moderado</v>
      </c>
      <c r="AL28" s="615"/>
      <c r="AM28" s="598"/>
      <c r="AN28" s="38"/>
      <c r="AO28" s="38"/>
      <c r="AP28" s="335"/>
      <c r="AQ28" s="336"/>
      <c r="AR28" s="38"/>
      <c r="AS28" s="41"/>
    </row>
    <row r="29" spans="2:45" s="30" customFormat="1" ht="66" customHeight="1" x14ac:dyDescent="0.25">
      <c r="B29" s="566"/>
      <c r="C29" s="566"/>
      <c r="D29" s="598"/>
      <c r="E29" s="566"/>
      <c r="F29" s="585"/>
      <c r="G29" s="587"/>
      <c r="H29" s="566"/>
      <c r="I29" s="566"/>
      <c r="J29" s="598"/>
      <c r="K29" s="598"/>
      <c r="L29" s="585"/>
      <c r="M29" s="590"/>
      <c r="N29" s="598"/>
      <c r="O29" s="602"/>
      <c r="P29" s="601"/>
      <c r="Q29" s="566"/>
      <c r="R29" s="602" t="e">
        <f>+VLOOKUP(Q29,Impacto!$B$5:$D$9,2,FALSE)</f>
        <v>#N/A</v>
      </c>
      <c r="S29" s="601" t="e">
        <f>+VLOOKUP(Q29,Impacto!$B$5:$D$9,3,FALSE)</f>
        <v>#N/A</v>
      </c>
      <c r="T29" s="601"/>
      <c r="U29" s="568" t="str">
        <f>+IF(T29&lt;=11%,"Bajo",IF(AND(T29&gt;=12%,T29&lt;=39%),"Moderado",IF(AND(T29&gt;=40%,T29&lt;=64%),"Alto",IF(T29&gt;64%,"Extremo",""))))</f>
        <v>Bajo</v>
      </c>
      <c r="V29" s="26">
        <v>3</v>
      </c>
      <c r="W29" s="38" t="s">
        <v>823</v>
      </c>
      <c r="X29" s="35" t="str">
        <f t="shared" si="14"/>
        <v>Probabilidad</v>
      </c>
      <c r="Y29" s="42" t="s">
        <v>755</v>
      </c>
      <c r="Z29" s="42" t="s">
        <v>756</v>
      </c>
      <c r="AA29" s="43" t="str">
        <f t="shared" si="15"/>
        <v>40%</v>
      </c>
      <c r="AB29" s="42" t="s">
        <v>738</v>
      </c>
      <c r="AC29" s="42" t="s">
        <v>757</v>
      </c>
      <c r="AD29" s="42" t="s">
        <v>758</v>
      </c>
      <c r="AE29" s="38" t="s">
        <v>824</v>
      </c>
      <c r="AF29" s="27">
        <f>IFERROR(IF(AND(X28="Probabilidad",X29="Probabilidad"),(AF28-(+AF28*AA29)),IF(X29="Probabilidad",(P27-(P27*AA29)),IF(X29="Impacto",P27,""))),"")</f>
        <v>0.17279999999999998</v>
      </c>
      <c r="AG29" s="37" t="str">
        <f t="shared" si="16"/>
        <v>Muy Baja</v>
      </c>
      <c r="AH29" s="27">
        <f>IFERROR(IF(AND(X28="Impacto",X29="Impacto"),(AH28-(+AH28*AA29)),IF(X29="Impacto",(S27-(+S27*AA29)),IF(X29="Probabilidad",AH28,""))),"")</f>
        <v>0.6</v>
      </c>
      <c r="AI29" s="37" t="str">
        <f t="shared" si="17"/>
        <v>Moderado</v>
      </c>
      <c r="AJ29" s="36">
        <f t="shared" si="18"/>
        <v>0.10367999999999998</v>
      </c>
      <c r="AK29" s="340" t="str">
        <f t="shared" si="19"/>
        <v>Bajo</v>
      </c>
      <c r="AL29" s="615"/>
      <c r="AM29" s="598"/>
      <c r="AN29" s="45"/>
      <c r="AO29" s="26"/>
      <c r="AP29" s="26"/>
      <c r="AQ29" s="26"/>
      <c r="AR29" s="26"/>
      <c r="AS29" s="26"/>
    </row>
    <row r="30" spans="2:45" s="30" customFormat="1" ht="60.75" customHeight="1" x14ac:dyDescent="0.25">
      <c r="B30" s="555"/>
      <c r="C30" s="555"/>
      <c r="D30" s="564"/>
      <c r="E30" s="555"/>
      <c r="F30" s="580"/>
      <c r="G30" s="588"/>
      <c r="H30" s="555"/>
      <c r="I30" s="555"/>
      <c r="J30" s="564"/>
      <c r="K30" s="564"/>
      <c r="L30" s="580"/>
      <c r="M30" s="582"/>
      <c r="N30" s="564"/>
      <c r="O30" s="597"/>
      <c r="P30" s="595"/>
      <c r="Q30" s="555"/>
      <c r="R30" s="597" t="e">
        <f>+VLOOKUP(Q30,Impacto!$B$5:$D$9,2,FALSE)</f>
        <v>#N/A</v>
      </c>
      <c r="S30" s="595" t="e">
        <f>+VLOOKUP(Q30,Impacto!$B$5:$D$9,3,FALSE)</f>
        <v>#N/A</v>
      </c>
      <c r="T30" s="595"/>
      <c r="U30" s="569" t="str">
        <f>+IF(T30&lt;=11%,"Bajo",IF(AND(T30&gt;=12%,T30&lt;=39%),"Moderado",IF(AND(T30&gt;=40%,T30&lt;=64%),"Alto",IF(T30&gt;64%,"Extremo",""))))</f>
        <v>Bajo</v>
      </c>
      <c r="V30" s="26">
        <v>4</v>
      </c>
      <c r="W30" s="38" t="s">
        <v>825</v>
      </c>
      <c r="X30" s="35" t="str">
        <f t="shared" si="14"/>
        <v>Probabilidad</v>
      </c>
      <c r="Y30" s="42" t="s">
        <v>755</v>
      </c>
      <c r="Z30" s="42" t="s">
        <v>756</v>
      </c>
      <c r="AA30" s="43" t="str">
        <f t="shared" si="15"/>
        <v>40%</v>
      </c>
      <c r="AB30" s="42" t="s">
        <v>738</v>
      </c>
      <c r="AC30" s="42" t="s">
        <v>757</v>
      </c>
      <c r="AD30" s="42" t="s">
        <v>758</v>
      </c>
      <c r="AE30" s="38" t="s">
        <v>826</v>
      </c>
      <c r="AF30" s="27">
        <f>IFERROR(IF(AND(X29="Probabilidad",X30="Probabilidad"),(AF29-(+AF29*AA30)),IF(X30="Probabilidad",(P27-(P27*AA30)),IF(X30="Impacto",P27,""))),"")</f>
        <v>0.10367999999999998</v>
      </c>
      <c r="AG30" s="37" t="str">
        <f t="shared" si="16"/>
        <v>Muy Baja</v>
      </c>
      <c r="AH30" s="27">
        <f>IFERROR(IF(AND(X29="Impacto",X30="Impacto"),(AH29-(+AH29*AA30)),IF(X30="Impacto",(S27-(+S27*AA30)),IF(X30="Probabilidad",AH29,""))),"")</f>
        <v>0.6</v>
      </c>
      <c r="AI30" s="37" t="str">
        <f t="shared" si="17"/>
        <v>Moderado</v>
      </c>
      <c r="AJ30" s="36">
        <f t="shared" si="18"/>
        <v>6.2207999999999986E-2</v>
      </c>
      <c r="AK30" s="340" t="str">
        <f t="shared" si="19"/>
        <v>Bajo</v>
      </c>
      <c r="AL30" s="616"/>
      <c r="AM30" s="564"/>
      <c r="AN30" s="26"/>
      <c r="AO30" s="26"/>
      <c r="AP30" s="26"/>
      <c r="AQ30" s="26"/>
      <c r="AR30" s="26"/>
      <c r="AS30" s="26"/>
    </row>
    <row r="31" spans="2:45" s="30" customFormat="1" ht="68.25" customHeight="1" x14ac:dyDescent="0.25">
      <c r="B31" s="554" t="s">
        <v>792</v>
      </c>
      <c r="C31" s="554" t="s">
        <v>793</v>
      </c>
      <c r="D31" s="563" t="s">
        <v>827</v>
      </c>
      <c r="E31" s="599" t="s">
        <v>828</v>
      </c>
      <c r="F31" s="579" t="s">
        <v>1597</v>
      </c>
      <c r="G31" s="554" t="s">
        <v>1598</v>
      </c>
      <c r="H31" s="554" t="s">
        <v>747</v>
      </c>
      <c r="I31" s="554" t="s">
        <v>748</v>
      </c>
      <c r="J31" s="563" t="s">
        <v>749</v>
      </c>
      <c r="K31" s="563" t="s">
        <v>750</v>
      </c>
      <c r="L31" s="579" t="s">
        <v>751</v>
      </c>
      <c r="M31" s="581" t="s">
        <v>752</v>
      </c>
      <c r="N31" s="563">
        <v>736</v>
      </c>
      <c r="O31" s="596" t="str">
        <f>IF(N31&lt;=0,"",IF(N31&lt;=2,"Muy Baja",IF(N31&lt;=24,"Baja",IF(N31&lt;=500,"Media",IF(N31&lt;=5000,"Alta","Muy Alta")))))</f>
        <v>Alta</v>
      </c>
      <c r="P31" s="594">
        <f>+VLOOKUP(O31,Probabilidad!$B$5:$C$9,2,FALSE)</f>
        <v>0.8</v>
      </c>
      <c r="Q31" s="554" t="s">
        <v>770</v>
      </c>
      <c r="R31" s="596" t="str">
        <f>+VLOOKUP(Q31,Impacto!$B$5:$D$9,2,FALSE)</f>
        <v>Moderado</v>
      </c>
      <c r="S31" s="594">
        <f>+VLOOKUP(Q31,Impacto!$B$5:$D$9,3,FALSE)</f>
        <v>0.6</v>
      </c>
      <c r="T31" s="594">
        <f>+P31*S31</f>
        <v>0.48</v>
      </c>
      <c r="U31" s="567" t="str">
        <f>+IF(T31&lt;=11%,"Bajo",IF(AND(T31&gt;=12%,T31&lt;=39%),"Moderado",IF(AND(T31&gt;=40%,T31&lt;=64%),"Alto",IF(T31&gt;64%,"Extremo",""))))</f>
        <v>Alto</v>
      </c>
      <c r="V31" s="26">
        <v>1</v>
      </c>
      <c r="W31" s="38" t="s">
        <v>829</v>
      </c>
      <c r="X31" s="35" t="str">
        <f t="shared" si="14"/>
        <v>Probabilidad</v>
      </c>
      <c r="Y31" s="42" t="s">
        <v>755</v>
      </c>
      <c r="Z31" s="42" t="s">
        <v>756</v>
      </c>
      <c r="AA31" s="43" t="str">
        <f t="shared" si="15"/>
        <v>40%</v>
      </c>
      <c r="AB31" s="42" t="s">
        <v>738</v>
      </c>
      <c r="AC31" s="42" t="s">
        <v>757</v>
      </c>
      <c r="AD31" s="42" t="s">
        <v>758</v>
      </c>
      <c r="AE31" s="38" t="s">
        <v>830</v>
      </c>
      <c r="AF31" s="27">
        <f>IFERROR(IF(X31="Probabilidad",(P31-(P31*AA31)),IF(X31="Impacto",P31,"")),"")</f>
        <v>0.48</v>
      </c>
      <c r="AG31" s="37" t="str">
        <f t="shared" si="16"/>
        <v>Media</v>
      </c>
      <c r="AH31" s="27">
        <f>IFERROR(IF(X31="Impacto",(S31-(S31*AA31)),IF(X31="Probabilidad",S31,"")),"")</f>
        <v>0.6</v>
      </c>
      <c r="AI31" s="37" t="str">
        <f t="shared" si="17"/>
        <v>Moderado</v>
      </c>
      <c r="AJ31" s="36">
        <f t="shared" si="18"/>
        <v>0.28799999999999998</v>
      </c>
      <c r="AK31" s="340" t="str">
        <f t="shared" si="19"/>
        <v>Moderado</v>
      </c>
      <c r="AL31" s="614" t="str">
        <f>+AK32</f>
        <v>Moderado</v>
      </c>
      <c r="AM31" s="563" t="s">
        <v>759</v>
      </c>
      <c r="AN31" s="38"/>
      <c r="AO31" s="38"/>
      <c r="AP31" s="335"/>
      <c r="AQ31" s="336"/>
      <c r="AR31" s="38"/>
      <c r="AS31" s="41"/>
    </row>
    <row r="32" spans="2:45" s="30" customFormat="1" ht="63.75" customHeight="1" x14ac:dyDescent="0.25">
      <c r="B32" s="566"/>
      <c r="C32" s="566"/>
      <c r="D32" s="598"/>
      <c r="E32" s="600"/>
      <c r="F32" s="585"/>
      <c r="G32" s="566"/>
      <c r="H32" s="566"/>
      <c r="I32" s="566"/>
      <c r="J32" s="598"/>
      <c r="K32" s="598"/>
      <c r="L32" s="585"/>
      <c r="M32" s="590"/>
      <c r="N32" s="598"/>
      <c r="O32" s="602"/>
      <c r="P32" s="601"/>
      <c r="Q32" s="566"/>
      <c r="R32" s="602" t="e">
        <f>+VLOOKUP(Q32,Impacto!$B$5:$D$9,2,FALSE)</f>
        <v>#N/A</v>
      </c>
      <c r="S32" s="601" t="e">
        <f>+VLOOKUP(Q32,Impacto!$B$5:$D$9,3,FALSE)</f>
        <v>#N/A</v>
      </c>
      <c r="T32" s="601"/>
      <c r="U32" s="568" t="str">
        <f>+IF(T32&lt;=11%,"Bajo",IF(AND(T32&gt;=12%,T32&lt;=39%),"Moderado",IF(AND(T32&gt;=40%,T32&lt;=64%),"Alto",IF(T32&gt;64%,"Extremo",""))))</f>
        <v>Bajo</v>
      </c>
      <c r="V32" s="26">
        <v>2</v>
      </c>
      <c r="W32" s="39" t="s">
        <v>831</v>
      </c>
      <c r="X32" s="35" t="str">
        <f t="shared" si="14"/>
        <v>Probabilidad</v>
      </c>
      <c r="Y32" s="42" t="s">
        <v>755</v>
      </c>
      <c r="Z32" s="42" t="s">
        <v>756</v>
      </c>
      <c r="AA32" s="43" t="str">
        <f t="shared" si="15"/>
        <v>40%</v>
      </c>
      <c r="AB32" s="42" t="s">
        <v>1002</v>
      </c>
      <c r="AC32" s="42" t="s">
        <v>757</v>
      </c>
      <c r="AD32" s="42" t="s">
        <v>758</v>
      </c>
      <c r="AE32" s="39" t="s">
        <v>832</v>
      </c>
      <c r="AF32" s="27">
        <f>IFERROR(IF(AND(X31="Probabilidad",X32="Probabilidad"),(AF31-(+AF31*AA32)),IF(X32="Probabilidad",(P31-(P31*AA32)),IF(X32="Impacto",P31,""))),"")</f>
        <v>0.28799999999999998</v>
      </c>
      <c r="AG32" s="37" t="str">
        <f t="shared" si="16"/>
        <v>Baja</v>
      </c>
      <c r="AH32" s="27">
        <f>IFERROR(IF(AND(X31="Impacto",X32="Impacto"),(AH31-(+AH31*AA32)),IF(X32="Impacto",(S31-(+S31*AA32)),IF(X32="Probabilidad",AH31,""))),"")</f>
        <v>0.6</v>
      </c>
      <c r="AI32" s="37" t="str">
        <f t="shared" si="17"/>
        <v>Moderado</v>
      </c>
      <c r="AJ32" s="36">
        <f t="shared" si="18"/>
        <v>0.17279999999999998</v>
      </c>
      <c r="AK32" s="340" t="str">
        <f t="shared" si="19"/>
        <v>Moderado</v>
      </c>
      <c r="AL32" s="615"/>
      <c r="AM32" s="564"/>
      <c r="AN32" s="45"/>
      <c r="AO32" s="26"/>
      <c r="AP32" s="26"/>
      <c r="AQ32" s="26"/>
      <c r="AR32" s="26"/>
      <c r="AS32" s="26"/>
    </row>
    <row r="33" spans="2:45" s="30" customFormat="1" ht="89.25" x14ac:dyDescent="0.25">
      <c r="B33" s="48" t="s">
        <v>792</v>
      </c>
      <c r="C33" s="28" t="s">
        <v>793</v>
      </c>
      <c r="D33" s="47" t="s">
        <v>1555</v>
      </c>
      <c r="E33" s="38" t="s">
        <v>833</v>
      </c>
      <c r="F33" s="38" t="s">
        <v>834</v>
      </c>
      <c r="G33" s="39" t="s">
        <v>1599</v>
      </c>
      <c r="H33" s="48" t="s">
        <v>747</v>
      </c>
      <c r="I33" s="48" t="s">
        <v>748</v>
      </c>
      <c r="J33" s="47" t="s">
        <v>784</v>
      </c>
      <c r="K33" s="47" t="s">
        <v>779</v>
      </c>
      <c r="L33" s="48" t="s">
        <v>751</v>
      </c>
      <c r="M33" s="47" t="s">
        <v>752</v>
      </c>
      <c r="N33" s="47">
        <v>20</v>
      </c>
      <c r="O33" s="369" t="str">
        <f>IF(N33&lt;=0,"",IF(N33&lt;=2,"Muy Baja",IF(N33&lt;=24,"Baja",IF(N33&lt;=500,"Media",IF(N33&lt;=5000,"Alta","Muy Alta")))))</f>
        <v>Baja</v>
      </c>
      <c r="P33" s="367">
        <f>+VLOOKUP(O33,Probabilidad!$B$5:$C$9,2,FALSE)</f>
        <v>0.4</v>
      </c>
      <c r="Q33" s="48" t="s">
        <v>835</v>
      </c>
      <c r="R33" s="369" t="str">
        <f>+VLOOKUP(Q33,Impacto!$B$5:$D$9,2,FALSE)</f>
        <v>Menor</v>
      </c>
      <c r="S33" s="367">
        <f>+VLOOKUP(Q33,Impacto!$B$5:$D$9,3,FALSE)</f>
        <v>0.4</v>
      </c>
      <c r="T33" s="367">
        <f>+P33*S33</f>
        <v>0.16000000000000003</v>
      </c>
      <c r="U33" s="346" t="str">
        <f t="shared" si="0"/>
        <v>Moderado</v>
      </c>
      <c r="V33" s="40">
        <v>1</v>
      </c>
      <c r="W33" s="38" t="s">
        <v>836</v>
      </c>
      <c r="X33" s="35" t="str">
        <f t="shared" si="1"/>
        <v>Probabilidad</v>
      </c>
      <c r="Y33" s="42" t="s">
        <v>755</v>
      </c>
      <c r="Z33" s="42" t="s">
        <v>756</v>
      </c>
      <c r="AA33" s="43" t="str">
        <f t="shared" si="2"/>
        <v>40%</v>
      </c>
      <c r="AB33" s="42" t="s">
        <v>738</v>
      </c>
      <c r="AC33" s="42" t="s">
        <v>757</v>
      </c>
      <c r="AD33" s="42" t="s">
        <v>758</v>
      </c>
      <c r="AE33" s="39" t="s">
        <v>1433</v>
      </c>
      <c r="AF33" s="27">
        <f>IFERROR(IF(X33="Probabilidad",(P33-(P33*AA33)),IF(X33="Impacto",P33,"")),"")</f>
        <v>0.24</v>
      </c>
      <c r="AG33" s="37" t="str">
        <f t="shared" ref="AG33:AG35" si="20">IFERROR(IF(AF33="","",IF(AF33&lt;=0.2,"Muy Baja",IF(AF33&lt;=0.4,"Baja",IF(AF33&lt;=0.6,"Media",IF(AF33&lt;=0.8,"Alta","Muy Alta"))))),"")</f>
        <v>Baja</v>
      </c>
      <c r="AH33" s="27">
        <f>IFERROR(IF(X33="Impacto",(S33-(S33*AA33)),IF(X33="Probabilidad",S33,"")),"")</f>
        <v>0.4</v>
      </c>
      <c r="AI33" s="37" t="str">
        <f t="shared" ref="AI33:AI35" si="21">IFERROR(IF(AH33="","",IF(AH33&lt;=0.2,"Leve",IF(AH33&lt;=0.4,"Menor",IF(AH33&lt;=0.6,"Moderado",IF(AH33&lt;=0.8,"Mayor","Catastrófico"))))),"")</f>
        <v>Menor</v>
      </c>
      <c r="AJ33" s="36">
        <f t="shared" ref="AJ33:AJ34" si="22">+AF33*AH33</f>
        <v>9.6000000000000002E-2</v>
      </c>
      <c r="AK33" s="340" t="str">
        <f t="shared" si="4"/>
        <v>Bajo</v>
      </c>
      <c r="AL33" s="345" t="str">
        <f>+AK33</f>
        <v>Bajo</v>
      </c>
      <c r="AM33" s="26" t="s">
        <v>759</v>
      </c>
      <c r="AN33" s="26"/>
      <c r="AO33" s="26"/>
      <c r="AP33" s="26"/>
      <c r="AQ33" s="26"/>
      <c r="AR33" s="26"/>
      <c r="AS33" s="26"/>
    </row>
    <row r="34" spans="2:45" s="30" customFormat="1" ht="64.5" customHeight="1" x14ac:dyDescent="0.25">
      <c r="B34" s="554" t="s">
        <v>792</v>
      </c>
      <c r="C34" s="554" t="s">
        <v>793</v>
      </c>
      <c r="D34" s="563" t="s">
        <v>837</v>
      </c>
      <c r="E34" s="579" t="s">
        <v>838</v>
      </c>
      <c r="F34" s="579" t="s">
        <v>1360</v>
      </c>
      <c r="G34" s="586" t="s">
        <v>839</v>
      </c>
      <c r="H34" s="554" t="s">
        <v>747</v>
      </c>
      <c r="I34" s="554" t="s">
        <v>748</v>
      </c>
      <c r="J34" s="563" t="s">
        <v>749</v>
      </c>
      <c r="K34" s="563" t="s">
        <v>750</v>
      </c>
      <c r="L34" s="579" t="s">
        <v>751</v>
      </c>
      <c r="M34" s="563" t="s">
        <v>752</v>
      </c>
      <c r="N34" s="563">
        <v>23</v>
      </c>
      <c r="O34" s="596" t="str">
        <f>IF(N34&lt;=0,"",IF(N34&lt;=2,"Muy Baja",IF(N34&lt;=24,"Baja",IF(N34&lt;=500,"Media",IF(N34&lt;=5000,"Alta","Muy Alta")))))</f>
        <v>Baja</v>
      </c>
      <c r="P34" s="594">
        <f>+VLOOKUP(O34,Probabilidad!$B$5:$C$9,2,FALSE)</f>
        <v>0.4</v>
      </c>
      <c r="Q34" s="554" t="s">
        <v>753</v>
      </c>
      <c r="R34" s="596" t="str">
        <f>+VLOOKUP(Q34,Impacto!$B$5:$D$9,2,FALSE)</f>
        <v>Mayor</v>
      </c>
      <c r="S34" s="594">
        <f>+VLOOKUP(Q34,Impacto!$B$5:$D$9,3,FALSE)</f>
        <v>0.8</v>
      </c>
      <c r="T34" s="594">
        <f>+P34*S34</f>
        <v>0.32000000000000006</v>
      </c>
      <c r="U34" s="567" t="str">
        <f t="shared" si="0"/>
        <v>Moderado</v>
      </c>
      <c r="V34" s="26">
        <v>1</v>
      </c>
      <c r="W34" s="39" t="s">
        <v>840</v>
      </c>
      <c r="X34" s="35" t="str">
        <f t="shared" ref="X34:X50" si="23">IF(OR(Y34="Preventivo",Y34="Detectivo"),"Probabilidad",IF(Y34="Correctivo","Impacto",""))</f>
        <v>Probabilidad</v>
      </c>
      <c r="Y34" s="42" t="s">
        <v>755</v>
      </c>
      <c r="Z34" s="42" t="s">
        <v>756</v>
      </c>
      <c r="AA34" s="43" t="str">
        <f t="shared" ref="AA34:AA50" si="24">IF(AND(Y34="Preventivo",Z34="Automático"),"50%",IF(AND(Y34="Preventivo",Z34="Manual"),"40%",IF(AND(Y34="Detectivo",Z34="Automático"),"40%",IF(AND(Y34="Detectivo",Z34="Manual"),"30%",IF(AND(Y34="Correctivo",Z34="Automático"),"35%",IF(AND(Y34="Correctivo",Z34="Manual"),"25%",""))))))</f>
        <v>40%</v>
      </c>
      <c r="AB34" s="42" t="s">
        <v>738</v>
      </c>
      <c r="AC34" s="42" t="s">
        <v>757</v>
      </c>
      <c r="AD34" s="42" t="s">
        <v>758</v>
      </c>
      <c r="AE34" s="38" t="s">
        <v>1434</v>
      </c>
      <c r="AF34" s="27">
        <f>IFERROR(IF(X34="Probabilidad",(P34-(P34*AA34)),IF(X34="Impacto",P34,"")),"")</f>
        <v>0.24</v>
      </c>
      <c r="AG34" s="37" t="str">
        <f t="shared" si="20"/>
        <v>Baja</v>
      </c>
      <c r="AH34" s="27">
        <f>IFERROR(IF(X34="Impacto",(S34-(S34*AA34)),IF(X34="Probabilidad",S34,"")),"")</f>
        <v>0.8</v>
      </c>
      <c r="AI34" s="37" t="str">
        <f t="shared" si="21"/>
        <v>Mayor</v>
      </c>
      <c r="AJ34" s="36">
        <f t="shared" si="22"/>
        <v>0.192</v>
      </c>
      <c r="AK34" s="340" t="str">
        <f t="shared" si="4"/>
        <v>Moderado</v>
      </c>
      <c r="AL34" s="614" t="str">
        <f>+AK35</f>
        <v>Moderado</v>
      </c>
      <c r="AM34" s="563" t="s">
        <v>759</v>
      </c>
      <c r="AN34" s="26"/>
      <c r="AO34" s="26"/>
      <c r="AP34" s="26"/>
      <c r="AQ34" s="26"/>
      <c r="AR34" s="26"/>
      <c r="AS34" s="26"/>
    </row>
    <row r="35" spans="2:45" s="30" customFormat="1" ht="56.25" customHeight="1" x14ac:dyDescent="0.25">
      <c r="B35" s="566"/>
      <c r="C35" s="555"/>
      <c r="D35" s="598"/>
      <c r="E35" s="580"/>
      <c r="F35" s="580"/>
      <c r="G35" s="588"/>
      <c r="H35" s="566"/>
      <c r="I35" s="566"/>
      <c r="J35" s="598"/>
      <c r="K35" s="598"/>
      <c r="L35" s="585"/>
      <c r="M35" s="598"/>
      <c r="N35" s="598"/>
      <c r="O35" s="602"/>
      <c r="P35" s="601"/>
      <c r="Q35" s="566"/>
      <c r="R35" s="602" t="e">
        <f>+VLOOKUP(Q35,Impacto!$B$5:$D$9,2,FALSE)</f>
        <v>#N/A</v>
      </c>
      <c r="S35" s="601" t="e">
        <f>+VLOOKUP(Q35,Impacto!$B$5:$D$9,3,FALSE)</f>
        <v>#N/A</v>
      </c>
      <c r="T35" s="601"/>
      <c r="U35" s="568" t="str">
        <f t="shared" si="0"/>
        <v>Bajo</v>
      </c>
      <c r="V35" s="26">
        <v>2</v>
      </c>
      <c r="W35" s="39" t="s">
        <v>841</v>
      </c>
      <c r="X35" s="35" t="str">
        <f t="shared" si="23"/>
        <v>Probabilidad</v>
      </c>
      <c r="Y35" s="42" t="s">
        <v>755</v>
      </c>
      <c r="Z35" s="42" t="s">
        <v>756</v>
      </c>
      <c r="AA35" s="43" t="str">
        <f t="shared" si="24"/>
        <v>40%</v>
      </c>
      <c r="AB35" s="42" t="s">
        <v>738</v>
      </c>
      <c r="AC35" s="42" t="s">
        <v>757</v>
      </c>
      <c r="AD35" s="42" t="s">
        <v>758</v>
      </c>
      <c r="AE35" s="38" t="s">
        <v>842</v>
      </c>
      <c r="AF35" s="27">
        <f>IFERROR(IF(AND(X34="Probabilidad",X35="Probabilidad"),(AF34-(+AF34*AA35)),IF(X35="Probabilidad",(P34-(P34*AA35)),IF(X35="Impacto",P34,""))),"")</f>
        <v>0.14399999999999999</v>
      </c>
      <c r="AG35" s="37" t="str">
        <f t="shared" si="20"/>
        <v>Muy Baja</v>
      </c>
      <c r="AH35" s="27">
        <f>IFERROR(IF(AND(X34="Impacto",X35="Impacto"),(AH34-(+AH34*AA35)),IF(X35="Impacto",(S34-(+S34*AA35)),IF(X35="Probabilidad",AH34,""))),"")</f>
        <v>0.8</v>
      </c>
      <c r="AI35" s="37" t="str">
        <f t="shared" si="21"/>
        <v>Mayor</v>
      </c>
      <c r="AJ35" s="36">
        <f>ROUND(+AF35*AH35,2)</f>
        <v>0.12</v>
      </c>
      <c r="AK35" s="340" t="str">
        <f t="shared" si="4"/>
        <v>Moderado</v>
      </c>
      <c r="AL35" s="616"/>
      <c r="AM35" s="564"/>
      <c r="AN35" s="26"/>
      <c r="AO35" s="26"/>
      <c r="AP35" s="26"/>
      <c r="AQ35" s="26"/>
      <c r="AR35" s="26"/>
      <c r="AS35" s="26"/>
    </row>
    <row r="36" spans="2:45" s="30" customFormat="1" ht="63.75" x14ac:dyDescent="0.25">
      <c r="B36" s="48" t="s">
        <v>792</v>
      </c>
      <c r="C36" s="28" t="s">
        <v>843</v>
      </c>
      <c r="D36" s="47" t="s">
        <v>844</v>
      </c>
      <c r="E36" s="49" t="s">
        <v>845</v>
      </c>
      <c r="F36" s="49" t="s">
        <v>1361</v>
      </c>
      <c r="G36" s="46" t="s">
        <v>846</v>
      </c>
      <c r="H36" s="48" t="s">
        <v>747</v>
      </c>
      <c r="I36" s="48" t="s">
        <v>748</v>
      </c>
      <c r="J36" s="47" t="s">
        <v>5</v>
      </c>
      <c r="K36" s="26" t="s">
        <v>847</v>
      </c>
      <c r="L36" s="38" t="s">
        <v>751</v>
      </c>
      <c r="M36" s="47" t="s">
        <v>752</v>
      </c>
      <c r="N36" s="47">
        <v>4</v>
      </c>
      <c r="O36" s="369" t="str">
        <f>IF(N36&lt;=0,"",IF(N36&lt;=2,"Muy Baja",IF(N36&lt;=24,"Baja",IF(N36&lt;=500,"Media",IF(N36&lt;=5000,"Alta","Muy Alta")))))</f>
        <v>Baja</v>
      </c>
      <c r="P36" s="367">
        <f>+VLOOKUP(O36,Probabilidad!$B$5:$C$9,2,FALSE)</f>
        <v>0.4</v>
      </c>
      <c r="Q36" s="343" t="s">
        <v>786</v>
      </c>
      <c r="R36" s="369" t="str">
        <f>+VLOOKUP(Q36,Impacto!$B$5:$D$9,2,FALSE)</f>
        <v>Leve</v>
      </c>
      <c r="S36" s="367">
        <f>+VLOOKUP(Q36,Impacto!$B$5:$D$9,3,FALSE)</f>
        <v>0.2</v>
      </c>
      <c r="T36" s="367">
        <f>+P36*S36</f>
        <v>8.0000000000000016E-2</v>
      </c>
      <c r="U36" s="346" t="str">
        <f t="shared" si="0"/>
        <v>Bajo</v>
      </c>
      <c r="V36" s="26">
        <v>1</v>
      </c>
      <c r="W36" s="38" t="s">
        <v>848</v>
      </c>
      <c r="X36" s="35" t="str">
        <f t="shared" si="23"/>
        <v>Impacto</v>
      </c>
      <c r="Y36" s="42" t="s">
        <v>849</v>
      </c>
      <c r="Z36" s="42" t="s">
        <v>756</v>
      </c>
      <c r="AA36" s="43" t="str">
        <f t="shared" si="24"/>
        <v>25%</v>
      </c>
      <c r="AB36" s="42" t="s">
        <v>738</v>
      </c>
      <c r="AC36" s="42" t="s">
        <v>757</v>
      </c>
      <c r="AD36" s="42" t="s">
        <v>758</v>
      </c>
      <c r="AE36" s="38" t="s">
        <v>850</v>
      </c>
      <c r="AF36" s="27">
        <f>IFERROR(IF(X36="Probabilidad",(P36-(P36*AA36)),IF(X36="Impacto",P36,"")),"")</f>
        <v>0.4</v>
      </c>
      <c r="AG36" s="37" t="str">
        <f t="shared" ref="AG36:AG54" si="25">IFERROR(IF(AF36="","",IF(AF36&lt;=0.2,"Muy Baja",IF(AF36&lt;=0.4,"Baja",IF(AF36&lt;=0.6,"Media",IF(AF36&lt;=0.8,"Alta","Muy Alta"))))),"")</f>
        <v>Baja</v>
      </c>
      <c r="AH36" s="27">
        <f>IFERROR(IF(X36="Impacto",(S36-(S36*AA36)),IF(X36="Probabilidad",S36,"")),"")</f>
        <v>0.15000000000000002</v>
      </c>
      <c r="AI36" s="37" t="str">
        <f t="shared" ref="AI36:AI54" si="26">IFERROR(IF(AH36="","",IF(AH36&lt;=0.2,"Leve",IF(AH36&lt;=0.4,"Menor",IF(AH36&lt;=0.6,"Moderado",IF(AH36&lt;=0.8,"Mayor","Catastrófico"))))),"")</f>
        <v>Leve</v>
      </c>
      <c r="AJ36" s="36">
        <f t="shared" ref="AJ36:AJ54" si="27">+AF36*AH36</f>
        <v>6.0000000000000012E-2</v>
      </c>
      <c r="AK36" s="340" t="str">
        <f t="shared" si="4"/>
        <v>Bajo</v>
      </c>
      <c r="AL36" s="37" t="str">
        <f>+AK36</f>
        <v>Bajo</v>
      </c>
      <c r="AM36" s="26" t="s">
        <v>759</v>
      </c>
      <c r="AN36" s="26"/>
      <c r="AO36" s="26"/>
      <c r="AP36" s="26"/>
      <c r="AQ36" s="26"/>
      <c r="AR36" s="26"/>
      <c r="AS36" s="26"/>
    </row>
    <row r="37" spans="2:45" s="30" customFormat="1" ht="153" x14ac:dyDescent="0.25">
      <c r="B37" s="48" t="s">
        <v>792</v>
      </c>
      <c r="C37" s="28" t="s">
        <v>843</v>
      </c>
      <c r="D37" s="47" t="s">
        <v>851</v>
      </c>
      <c r="E37" s="726" t="s">
        <v>1715</v>
      </c>
      <c r="F37" s="726" t="s">
        <v>1714</v>
      </c>
      <c r="G37" s="39" t="s">
        <v>852</v>
      </c>
      <c r="H37" s="48" t="s">
        <v>747</v>
      </c>
      <c r="I37" s="48" t="s">
        <v>748</v>
      </c>
      <c r="J37" s="47" t="s">
        <v>5</v>
      </c>
      <c r="K37" s="26" t="s">
        <v>847</v>
      </c>
      <c r="L37" s="38" t="s">
        <v>751</v>
      </c>
      <c r="M37" s="47" t="s">
        <v>752</v>
      </c>
      <c r="N37" s="47">
        <v>500</v>
      </c>
      <c r="O37" s="369" t="str">
        <f>IF(N37&lt;=0,"",IF(N37&lt;=2,"Muy Baja",IF(N37&lt;=24,"Baja",IF(N37&lt;=500,"Media",IF(N37&lt;=5000,"Alta","Muy Alta")))))</f>
        <v>Media</v>
      </c>
      <c r="P37" s="344">
        <f>+VLOOKUP(O37,Probabilidad!$B$5:$C$9,2,FALSE)</f>
        <v>0.6</v>
      </c>
      <c r="Q37" s="343" t="s">
        <v>770</v>
      </c>
      <c r="R37" s="369" t="str">
        <f>+VLOOKUP(Q37,Impacto!$B$5:$D$9,2,FALSE)</f>
        <v>Moderado</v>
      </c>
      <c r="S37" s="344">
        <f>+VLOOKUP(Q37,Impacto!$B$5:$D$9,3,FALSE)</f>
        <v>0.6</v>
      </c>
      <c r="T37" s="344">
        <f>+P37*S37</f>
        <v>0.36</v>
      </c>
      <c r="U37" s="346" t="str">
        <f t="shared" si="0"/>
        <v>Moderado</v>
      </c>
      <c r="V37" s="26">
        <v>1</v>
      </c>
      <c r="W37" s="39" t="s">
        <v>853</v>
      </c>
      <c r="X37" s="35" t="str">
        <f t="shared" si="23"/>
        <v>Impacto</v>
      </c>
      <c r="Y37" s="42" t="s">
        <v>849</v>
      </c>
      <c r="Z37" s="42" t="s">
        <v>756</v>
      </c>
      <c r="AA37" s="43" t="str">
        <f t="shared" si="24"/>
        <v>25%</v>
      </c>
      <c r="AB37" s="42" t="s">
        <v>738</v>
      </c>
      <c r="AC37" s="42" t="s">
        <v>757</v>
      </c>
      <c r="AD37" s="42" t="s">
        <v>758</v>
      </c>
      <c r="AE37" s="726" t="s">
        <v>1725</v>
      </c>
      <c r="AF37" s="27">
        <f>IFERROR(IF(X37="Probabilidad",(P37-(P37*AA37)),IF(X37="Impacto",P37,"")),"")</f>
        <v>0.6</v>
      </c>
      <c r="AG37" s="37" t="str">
        <f t="shared" si="25"/>
        <v>Media</v>
      </c>
      <c r="AH37" s="27">
        <f>IFERROR(IF(X37="Impacto",(S37-(S37*AA37)),IF(X37="Probabilidad",S37,"")),"")</f>
        <v>0.44999999999999996</v>
      </c>
      <c r="AI37" s="37" t="str">
        <f t="shared" si="26"/>
        <v>Moderado</v>
      </c>
      <c r="AJ37" s="36">
        <f t="shared" si="27"/>
        <v>0.26999999999999996</v>
      </c>
      <c r="AK37" s="340" t="str">
        <f t="shared" si="4"/>
        <v>Moderado</v>
      </c>
      <c r="AL37" s="37" t="str">
        <f>+AK37</f>
        <v>Moderado</v>
      </c>
      <c r="AM37" s="26" t="s">
        <v>759</v>
      </c>
      <c r="AN37" s="39" t="s">
        <v>1558</v>
      </c>
      <c r="AO37" s="39" t="s">
        <v>1559</v>
      </c>
      <c r="AP37" s="39" t="s">
        <v>1560</v>
      </c>
      <c r="AQ37" s="39" t="s">
        <v>762</v>
      </c>
      <c r="AR37" s="39" t="s">
        <v>1561</v>
      </c>
      <c r="AS37" s="41" t="s">
        <v>764</v>
      </c>
    </row>
    <row r="38" spans="2:45" s="30" customFormat="1" ht="63.75" x14ac:dyDescent="0.25">
      <c r="B38" s="554" t="s">
        <v>792</v>
      </c>
      <c r="C38" s="554" t="s">
        <v>843</v>
      </c>
      <c r="D38" s="563" t="s">
        <v>854</v>
      </c>
      <c r="E38" s="727" t="s">
        <v>1716</v>
      </c>
      <c r="F38" s="727" t="s">
        <v>1717</v>
      </c>
      <c r="G38" s="586" t="s">
        <v>855</v>
      </c>
      <c r="H38" s="554" t="s">
        <v>747</v>
      </c>
      <c r="I38" s="554" t="s">
        <v>748</v>
      </c>
      <c r="J38" s="563" t="s">
        <v>5</v>
      </c>
      <c r="K38" s="563" t="s">
        <v>847</v>
      </c>
      <c r="L38" s="579" t="s">
        <v>751</v>
      </c>
      <c r="M38" s="563" t="s">
        <v>752</v>
      </c>
      <c r="N38" s="563">
        <v>500</v>
      </c>
      <c r="O38" s="596" t="str">
        <f>IF(N38&lt;=0,"",IF(N38&lt;=2,"Muy Baja",IF(N38&lt;=24,"Baja",IF(N38&lt;=500,"Media",IF(N38&lt;=5000,"Alta","Muy Alta")))))</f>
        <v>Media</v>
      </c>
      <c r="P38" s="594">
        <f>+VLOOKUP(O38,Probabilidad!$B$5:$C$9,2,FALSE)</f>
        <v>0.6</v>
      </c>
      <c r="Q38" s="554" t="s">
        <v>786</v>
      </c>
      <c r="R38" s="596" t="str">
        <f>+VLOOKUP(Q38,Impacto!$B$5:$D$9,2,FALSE)</f>
        <v>Leve</v>
      </c>
      <c r="S38" s="594">
        <f>+VLOOKUP(Q38,Impacto!$B$5:$D$9,3,FALSE)</f>
        <v>0.2</v>
      </c>
      <c r="T38" s="594">
        <f>+P38*S38</f>
        <v>0.12</v>
      </c>
      <c r="U38" s="567" t="str">
        <f t="shared" si="0"/>
        <v>Moderado</v>
      </c>
      <c r="V38" s="26">
        <v>1</v>
      </c>
      <c r="W38" s="39" t="s">
        <v>856</v>
      </c>
      <c r="X38" s="35" t="str">
        <f t="shared" si="23"/>
        <v>Probabilidad</v>
      </c>
      <c r="Y38" s="42" t="s">
        <v>755</v>
      </c>
      <c r="Z38" s="42" t="s">
        <v>756</v>
      </c>
      <c r="AA38" s="43" t="str">
        <f t="shared" si="24"/>
        <v>40%</v>
      </c>
      <c r="AB38" s="42" t="s">
        <v>738</v>
      </c>
      <c r="AC38" s="42" t="s">
        <v>757</v>
      </c>
      <c r="AD38" s="42" t="s">
        <v>758</v>
      </c>
      <c r="AE38" s="39" t="s">
        <v>1435</v>
      </c>
      <c r="AF38" s="27">
        <f>IFERROR(IF(X38="Probabilidad",(P38-(P38*AA38)),IF(X38="Impacto",P38,"")),"")</f>
        <v>0.36</v>
      </c>
      <c r="AG38" s="37" t="str">
        <f t="shared" si="25"/>
        <v>Baja</v>
      </c>
      <c r="AH38" s="27">
        <f>IFERROR(IF(X38="Impacto",(S38-(S38*AA38)),IF(X38="Probabilidad",S38,"")),"")</f>
        <v>0.2</v>
      </c>
      <c r="AI38" s="37" t="str">
        <f t="shared" si="26"/>
        <v>Leve</v>
      </c>
      <c r="AJ38" s="36">
        <f t="shared" si="27"/>
        <v>7.1999999999999995E-2</v>
      </c>
      <c r="AK38" s="340" t="str">
        <f t="shared" si="4"/>
        <v>Bajo</v>
      </c>
      <c r="AL38" s="614" t="str">
        <f>+AK39</f>
        <v>Bajo</v>
      </c>
      <c r="AM38" s="563" t="s">
        <v>759</v>
      </c>
      <c r="AN38" s="26"/>
      <c r="AO38" s="26"/>
      <c r="AP38" s="26"/>
      <c r="AQ38" s="26"/>
      <c r="AR38" s="26"/>
      <c r="AS38" s="26"/>
    </row>
    <row r="39" spans="2:45" s="30" customFormat="1" ht="106.5" customHeight="1" x14ac:dyDescent="0.25">
      <c r="B39" s="555"/>
      <c r="C39" s="555"/>
      <c r="D39" s="564"/>
      <c r="E39" s="728"/>
      <c r="F39" s="728"/>
      <c r="G39" s="588"/>
      <c r="H39" s="555"/>
      <c r="I39" s="555"/>
      <c r="J39" s="564"/>
      <c r="K39" s="564"/>
      <c r="L39" s="580"/>
      <c r="M39" s="564"/>
      <c r="N39" s="564"/>
      <c r="O39" s="597"/>
      <c r="P39" s="595"/>
      <c r="Q39" s="555"/>
      <c r="R39" s="597" t="e">
        <f>+VLOOKUP(Q39,Impacto!$B$5:$D$9,2,FALSE)</f>
        <v>#N/A</v>
      </c>
      <c r="S39" s="595" t="e">
        <f>+VLOOKUP(Q39,Impacto!$B$5:$D$9,3,FALSE)</f>
        <v>#N/A</v>
      </c>
      <c r="T39" s="595"/>
      <c r="U39" s="569" t="str">
        <f t="shared" si="0"/>
        <v>Bajo</v>
      </c>
      <c r="V39" s="26">
        <v>2</v>
      </c>
      <c r="W39" s="49" t="s">
        <v>857</v>
      </c>
      <c r="X39" s="35" t="str">
        <f t="shared" si="23"/>
        <v>Probabilidad</v>
      </c>
      <c r="Y39" s="42" t="s">
        <v>755</v>
      </c>
      <c r="Z39" s="42" t="s">
        <v>756</v>
      </c>
      <c r="AA39" s="43" t="str">
        <f t="shared" si="24"/>
        <v>40%</v>
      </c>
      <c r="AB39" s="42" t="s">
        <v>738</v>
      </c>
      <c r="AC39" s="42" t="s">
        <v>757</v>
      </c>
      <c r="AD39" s="42" t="s">
        <v>758</v>
      </c>
      <c r="AE39" s="49" t="s">
        <v>858</v>
      </c>
      <c r="AF39" s="27">
        <f>IFERROR(IF(AND(X38="Probabilidad",X39="Probabilidad"),(AF38-(+AF38*AA39)),IF(X39="Probabilidad",(P38-(P38*AA39)),IF(X39="Impacto",P38,""))),"")</f>
        <v>0.216</v>
      </c>
      <c r="AG39" s="37" t="str">
        <f t="shared" si="25"/>
        <v>Baja</v>
      </c>
      <c r="AH39" s="27">
        <f>IFERROR(IF(AND(X38="Impacto",X39="Impacto"),(AH38-(+AH38*AA39)),IF(X39="Impacto",(S38-(+S38*AA39)),IF(X39="Probabilidad",AH38,""))),"")</f>
        <v>0.2</v>
      </c>
      <c r="AI39" s="37" t="str">
        <f t="shared" si="26"/>
        <v>Leve</v>
      </c>
      <c r="AJ39" s="36">
        <f t="shared" si="27"/>
        <v>4.3200000000000002E-2</v>
      </c>
      <c r="AK39" s="340" t="str">
        <f t="shared" si="4"/>
        <v>Bajo</v>
      </c>
      <c r="AL39" s="616"/>
      <c r="AM39" s="564"/>
      <c r="AN39" s="26"/>
      <c r="AO39" s="26"/>
      <c r="AP39" s="26"/>
      <c r="AQ39" s="26"/>
      <c r="AR39" s="26"/>
      <c r="AS39" s="26"/>
    </row>
    <row r="40" spans="2:45" s="30" customFormat="1" ht="114.75" x14ac:dyDescent="0.25">
      <c r="B40" s="48" t="s">
        <v>792</v>
      </c>
      <c r="C40" s="28" t="s">
        <v>843</v>
      </c>
      <c r="D40" s="47" t="s">
        <v>859</v>
      </c>
      <c r="E40" s="39" t="s">
        <v>860</v>
      </c>
      <c r="F40" s="38" t="s">
        <v>1362</v>
      </c>
      <c r="G40" s="39" t="s">
        <v>1562</v>
      </c>
      <c r="H40" s="48" t="s">
        <v>747</v>
      </c>
      <c r="I40" s="48" t="s">
        <v>748</v>
      </c>
      <c r="J40" s="47" t="s">
        <v>5</v>
      </c>
      <c r="K40" s="26" t="s">
        <v>847</v>
      </c>
      <c r="L40" s="38" t="s">
        <v>751</v>
      </c>
      <c r="M40" s="47" t="s">
        <v>752</v>
      </c>
      <c r="N40" s="47">
        <v>4</v>
      </c>
      <c r="O40" s="369" t="str">
        <f>IF(N40&lt;=0,"",IF(N40&lt;=2,"Muy Baja",IF(N40&lt;=24,"Baja",IF(N40&lt;=500,"Media",IF(N40&lt;=5000,"Alta","Muy Alta")))))</f>
        <v>Baja</v>
      </c>
      <c r="P40" s="367">
        <f>+VLOOKUP(O40,Probabilidad!$B$5:$C$9,2,FALSE)</f>
        <v>0.4</v>
      </c>
      <c r="Q40" s="343" t="s">
        <v>770</v>
      </c>
      <c r="R40" s="369" t="str">
        <f>+VLOOKUP(Q40,Impacto!$B$5:$D$9,2,FALSE)</f>
        <v>Moderado</v>
      </c>
      <c r="S40" s="367">
        <f>+VLOOKUP(Q40,Impacto!$B$5:$D$9,3,FALSE)</f>
        <v>0.6</v>
      </c>
      <c r="T40" s="367">
        <f>+P40*S40</f>
        <v>0.24</v>
      </c>
      <c r="U40" s="346" t="str">
        <f t="shared" si="0"/>
        <v>Moderado</v>
      </c>
      <c r="V40" s="26">
        <v>1</v>
      </c>
      <c r="W40" s="39" t="s">
        <v>861</v>
      </c>
      <c r="X40" s="35" t="str">
        <f t="shared" si="23"/>
        <v>Probabilidad</v>
      </c>
      <c r="Y40" s="42" t="s">
        <v>755</v>
      </c>
      <c r="Z40" s="42" t="s">
        <v>756</v>
      </c>
      <c r="AA40" s="43" t="str">
        <f t="shared" si="24"/>
        <v>40%</v>
      </c>
      <c r="AB40" s="42" t="s">
        <v>738</v>
      </c>
      <c r="AC40" s="42" t="s">
        <v>757</v>
      </c>
      <c r="AD40" s="42" t="s">
        <v>758</v>
      </c>
      <c r="AE40" s="39" t="s">
        <v>1436</v>
      </c>
      <c r="AF40" s="27">
        <f>IFERROR(IF(X40="Probabilidad",(P40-(P40*AA40)),IF(X40="Impacto",P40,"")),"")</f>
        <v>0.24</v>
      </c>
      <c r="AG40" s="37" t="str">
        <f t="shared" si="25"/>
        <v>Baja</v>
      </c>
      <c r="AH40" s="27">
        <f>IFERROR(IF(X40="Impacto",(S40-(S40*AA40)),IF(X40="Probabilidad",S40,"")),"")</f>
        <v>0.6</v>
      </c>
      <c r="AI40" s="37" t="str">
        <f t="shared" si="26"/>
        <v>Moderado</v>
      </c>
      <c r="AJ40" s="36">
        <f t="shared" si="27"/>
        <v>0.14399999999999999</v>
      </c>
      <c r="AK40" s="340" t="str">
        <f t="shared" si="4"/>
        <v>Moderado</v>
      </c>
      <c r="AL40" s="37" t="str">
        <f>+AK40</f>
        <v>Moderado</v>
      </c>
      <c r="AM40" s="26" t="s">
        <v>759</v>
      </c>
      <c r="AN40" s="26"/>
      <c r="AO40" s="26"/>
      <c r="AP40" s="26"/>
      <c r="AQ40" s="26"/>
      <c r="AR40" s="26"/>
      <c r="AS40" s="26"/>
    </row>
    <row r="41" spans="2:45" s="30" customFormat="1" ht="106.5" customHeight="1" x14ac:dyDescent="0.25">
      <c r="B41" s="554" t="s">
        <v>792</v>
      </c>
      <c r="C41" s="554" t="s">
        <v>862</v>
      </c>
      <c r="D41" s="563" t="s">
        <v>863</v>
      </c>
      <c r="E41" s="586" t="s">
        <v>1563</v>
      </c>
      <c r="F41" s="586" t="s">
        <v>1363</v>
      </c>
      <c r="G41" s="579" t="s">
        <v>864</v>
      </c>
      <c r="H41" s="554" t="s">
        <v>747</v>
      </c>
      <c r="I41" s="554" t="s">
        <v>748</v>
      </c>
      <c r="J41" s="563" t="s">
        <v>5</v>
      </c>
      <c r="K41" s="563" t="s">
        <v>865</v>
      </c>
      <c r="L41" s="579" t="s">
        <v>751</v>
      </c>
      <c r="M41" s="563" t="s">
        <v>752</v>
      </c>
      <c r="N41" s="563">
        <v>80</v>
      </c>
      <c r="O41" s="596" t="str">
        <f>IF(N41&lt;=0,"",IF(N41&lt;=2,"Muy Baja",IF(N41&lt;=24,"Baja",IF(N41&lt;=500,"Media",IF(N41&lt;=5000,"Alta","Muy Alta")))))</f>
        <v>Media</v>
      </c>
      <c r="P41" s="594">
        <f>+VLOOKUP(O41,Probabilidad!$B$5:$C$9,2,FALSE)</f>
        <v>0.6</v>
      </c>
      <c r="Q41" s="554" t="s">
        <v>786</v>
      </c>
      <c r="R41" s="596" t="str">
        <f>+VLOOKUP(Q41,Impacto!$B$5:$D$9,2,FALSE)</f>
        <v>Leve</v>
      </c>
      <c r="S41" s="594">
        <f>+VLOOKUP(Q41,Impacto!$B$5:$D$9,3,FALSE)</f>
        <v>0.2</v>
      </c>
      <c r="T41" s="594">
        <f>+P41*S41</f>
        <v>0.12</v>
      </c>
      <c r="U41" s="567" t="str">
        <f t="shared" si="0"/>
        <v>Moderado</v>
      </c>
      <c r="V41" s="40">
        <v>1</v>
      </c>
      <c r="W41" s="38" t="s">
        <v>1663</v>
      </c>
      <c r="X41" s="35" t="str">
        <f t="shared" si="23"/>
        <v>Probabilidad</v>
      </c>
      <c r="Y41" s="42" t="s">
        <v>755</v>
      </c>
      <c r="Z41" s="42" t="s">
        <v>756</v>
      </c>
      <c r="AA41" s="43" t="str">
        <f t="shared" si="24"/>
        <v>40%</v>
      </c>
      <c r="AB41" s="42" t="s">
        <v>738</v>
      </c>
      <c r="AC41" s="42" t="s">
        <v>757</v>
      </c>
      <c r="AD41" s="42" t="s">
        <v>758</v>
      </c>
      <c r="AE41" s="39" t="s">
        <v>1437</v>
      </c>
      <c r="AF41" s="27">
        <f>IFERROR(IF(X41="Probabilidad",(P41-(P41*AA41)),IF(X41="Impacto",P41,"")),"")</f>
        <v>0.36</v>
      </c>
      <c r="AG41" s="37" t="str">
        <f t="shared" si="25"/>
        <v>Baja</v>
      </c>
      <c r="AH41" s="27">
        <f>IFERROR(IF(X41="Impacto",(S41-(S41*AA41)),IF(X41="Probabilidad",S41,"")),"")</f>
        <v>0.2</v>
      </c>
      <c r="AI41" s="37" t="str">
        <f t="shared" si="26"/>
        <v>Leve</v>
      </c>
      <c r="AJ41" s="36">
        <f t="shared" si="27"/>
        <v>7.1999999999999995E-2</v>
      </c>
      <c r="AK41" s="340" t="str">
        <f t="shared" si="4"/>
        <v>Bajo</v>
      </c>
      <c r="AL41" s="614" t="str">
        <f>+AK43</f>
        <v>Bajo</v>
      </c>
      <c r="AM41" s="563" t="s">
        <v>759</v>
      </c>
      <c r="AN41" s="38" t="s">
        <v>1565</v>
      </c>
      <c r="AO41" s="38" t="s">
        <v>1566</v>
      </c>
      <c r="AP41" s="336">
        <v>45443</v>
      </c>
      <c r="AQ41" s="336" t="s">
        <v>762</v>
      </c>
      <c r="AR41" s="38" t="s">
        <v>1567</v>
      </c>
      <c r="AS41" s="41" t="s">
        <v>1554</v>
      </c>
    </row>
    <row r="42" spans="2:45" s="30" customFormat="1" ht="63.75" x14ac:dyDescent="0.25">
      <c r="B42" s="566"/>
      <c r="C42" s="566"/>
      <c r="D42" s="598"/>
      <c r="E42" s="587"/>
      <c r="F42" s="587"/>
      <c r="G42" s="585"/>
      <c r="H42" s="566"/>
      <c r="I42" s="566"/>
      <c r="J42" s="598"/>
      <c r="K42" s="598"/>
      <c r="L42" s="585"/>
      <c r="M42" s="598"/>
      <c r="N42" s="598"/>
      <c r="O42" s="602"/>
      <c r="P42" s="601"/>
      <c r="Q42" s="566"/>
      <c r="R42" s="602" t="e">
        <f>+VLOOKUP(Q42,Impacto!$B$5:$D$9,2,FALSE)</f>
        <v>#N/A</v>
      </c>
      <c r="S42" s="601" t="e">
        <f>+VLOOKUP(Q42,Impacto!$B$5:$D$9,3,FALSE)</f>
        <v>#N/A</v>
      </c>
      <c r="T42" s="601"/>
      <c r="U42" s="568" t="str">
        <f t="shared" si="0"/>
        <v>Bajo</v>
      </c>
      <c r="V42" s="40">
        <v>2</v>
      </c>
      <c r="W42" s="38" t="s">
        <v>866</v>
      </c>
      <c r="X42" s="35" t="str">
        <f t="shared" si="23"/>
        <v>Probabilidad</v>
      </c>
      <c r="Y42" s="42" t="s">
        <v>755</v>
      </c>
      <c r="Z42" s="42" t="s">
        <v>756</v>
      </c>
      <c r="AA42" s="43" t="str">
        <f t="shared" si="24"/>
        <v>40%</v>
      </c>
      <c r="AB42" s="42" t="s">
        <v>738</v>
      </c>
      <c r="AC42" s="42" t="s">
        <v>757</v>
      </c>
      <c r="AD42" s="42" t="s">
        <v>758</v>
      </c>
      <c r="AE42" s="39" t="s">
        <v>867</v>
      </c>
      <c r="AF42" s="27">
        <f>IFERROR(IF(AND(X41="Probabilidad",X42="Probabilidad"),(AF41-(+AF41*AA42)),IF(X42="Probabilidad",(P41-(P41*AA42)),IF(X42="Impacto",P41,""))),"")</f>
        <v>0.216</v>
      </c>
      <c r="AG42" s="37" t="str">
        <f t="shared" si="25"/>
        <v>Baja</v>
      </c>
      <c r="AH42" s="27">
        <f>IFERROR(IF(AND(X41="Impacto",X42="Impacto"),(AH41-(+AH41*AA42)),IF(X42="Impacto",(S41-(+S41*AA42)),IF(X42="Probabilidad",AH41,""))),"")</f>
        <v>0.2</v>
      </c>
      <c r="AI42" s="37" t="str">
        <f t="shared" si="26"/>
        <v>Leve</v>
      </c>
      <c r="AJ42" s="36">
        <f t="shared" si="27"/>
        <v>4.3200000000000002E-2</v>
      </c>
      <c r="AK42" s="340" t="str">
        <f t="shared" si="4"/>
        <v>Bajo</v>
      </c>
      <c r="AL42" s="615"/>
      <c r="AM42" s="598"/>
      <c r="AN42" s="26"/>
      <c r="AO42" s="26"/>
      <c r="AP42" s="26"/>
      <c r="AQ42" s="26"/>
      <c r="AR42" s="26"/>
      <c r="AS42" s="26"/>
    </row>
    <row r="43" spans="2:45" s="30" customFormat="1" ht="63.75" x14ac:dyDescent="0.25">
      <c r="B43" s="555"/>
      <c r="C43" s="555"/>
      <c r="D43" s="564"/>
      <c r="E43" s="587"/>
      <c r="F43" s="587"/>
      <c r="G43" s="585"/>
      <c r="H43" s="555"/>
      <c r="I43" s="555"/>
      <c r="J43" s="564"/>
      <c r="K43" s="564"/>
      <c r="L43" s="580"/>
      <c r="M43" s="564"/>
      <c r="N43" s="564"/>
      <c r="O43" s="597"/>
      <c r="P43" s="595"/>
      <c r="Q43" s="555"/>
      <c r="R43" s="597" t="e">
        <f>+VLOOKUP(Q43,Impacto!$B$5:$D$9,2,FALSE)</f>
        <v>#N/A</v>
      </c>
      <c r="S43" s="595" t="e">
        <f>+VLOOKUP(Q43,Impacto!$B$5:$D$9,3,FALSE)</f>
        <v>#N/A</v>
      </c>
      <c r="T43" s="595"/>
      <c r="U43" s="569" t="str">
        <f t="shared" si="0"/>
        <v>Bajo</v>
      </c>
      <c r="V43" s="40">
        <v>3</v>
      </c>
      <c r="W43" s="38" t="s">
        <v>868</v>
      </c>
      <c r="X43" s="35" t="str">
        <f t="shared" si="23"/>
        <v>Probabilidad</v>
      </c>
      <c r="Y43" s="42" t="s">
        <v>755</v>
      </c>
      <c r="Z43" s="42" t="s">
        <v>756</v>
      </c>
      <c r="AA43" s="43" t="str">
        <f t="shared" si="24"/>
        <v>40%</v>
      </c>
      <c r="AB43" s="42" t="s">
        <v>738</v>
      </c>
      <c r="AC43" s="42" t="s">
        <v>757</v>
      </c>
      <c r="AD43" s="42" t="s">
        <v>758</v>
      </c>
      <c r="AE43" s="39" t="s">
        <v>1564</v>
      </c>
      <c r="AF43" s="27">
        <f>IFERROR(IF(AND(X42="Probabilidad",X43="Probabilidad"),(AF42-(+AF42*AA43)),IF(X43="Probabilidad",(P41-(P41*AA43)),IF(X43="Impacto",P41,""))),"")</f>
        <v>0.12959999999999999</v>
      </c>
      <c r="AG43" s="37" t="str">
        <f t="shared" si="25"/>
        <v>Muy Baja</v>
      </c>
      <c r="AH43" s="27">
        <f>IFERROR(IF(AND(X42="Impacto",X43="Impacto"),(AH42-(+AH42*AA43)),IF(X43="Impacto",(S41-(+S41*AA43)),IF(X43="Probabilidad",AH42,""))),"")</f>
        <v>0.2</v>
      </c>
      <c r="AI43" s="37" t="str">
        <f t="shared" si="26"/>
        <v>Leve</v>
      </c>
      <c r="AJ43" s="36">
        <f t="shared" si="27"/>
        <v>2.5919999999999999E-2</v>
      </c>
      <c r="AK43" s="340" t="str">
        <f t="shared" si="4"/>
        <v>Bajo</v>
      </c>
      <c r="AL43" s="616"/>
      <c r="AM43" s="564"/>
      <c r="AN43" s="26"/>
      <c r="AO43" s="26"/>
      <c r="AP43" s="26"/>
      <c r="AQ43" s="26"/>
      <c r="AR43" s="26"/>
      <c r="AS43" s="26"/>
    </row>
    <row r="44" spans="2:45" s="30" customFormat="1" ht="106.5" customHeight="1" x14ac:dyDescent="0.25">
      <c r="B44" s="48" t="s">
        <v>792</v>
      </c>
      <c r="C44" s="28" t="s">
        <v>862</v>
      </c>
      <c r="D44" s="47" t="s">
        <v>869</v>
      </c>
      <c r="E44" s="49" t="s">
        <v>1568</v>
      </c>
      <c r="F44" s="39" t="s">
        <v>1364</v>
      </c>
      <c r="G44" s="38" t="s">
        <v>1569</v>
      </c>
      <c r="H44" s="48" t="s">
        <v>747</v>
      </c>
      <c r="I44" s="48" t="s">
        <v>748</v>
      </c>
      <c r="J44" s="47" t="s">
        <v>5</v>
      </c>
      <c r="K44" s="26" t="s">
        <v>865</v>
      </c>
      <c r="L44" s="38" t="s">
        <v>751</v>
      </c>
      <c r="M44" s="47" t="s">
        <v>752</v>
      </c>
      <c r="N44" s="47">
        <v>5</v>
      </c>
      <c r="O44" s="369" t="str">
        <f>IF(N44&lt;=0,"",IF(N44&lt;=2,"Muy Baja",IF(N44&lt;=24,"Baja",IF(N44&lt;=500,"Media",IF(N44&lt;=5000,"Alta","Muy Alta")))))</f>
        <v>Baja</v>
      </c>
      <c r="P44" s="344">
        <f>+VLOOKUP(O44,Probabilidad!$B$5:$C$9,2,FALSE)</f>
        <v>0.4</v>
      </c>
      <c r="Q44" s="343" t="s">
        <v>786</v>
      </c>
      <c r="R44" s="369" t="str">
        <f>+VLOOKUP(Q44,Impacto!$B$5:$D$9,2,FALSE)</f>
        <v>Leve</v>
      </c>
      <c r="S44" s="344">
        <f>+VLOOKUP(Q44,Impacto!$B$5:$D$9,3,FALSE)</f>
        <v>0.2</v>
      </c>
      <c r="T44" s="344">
        <f>+P44*S44</f>
        <v>8.0000000000000016E-2</v>
      </c>
      <c r="U44" s="346" t="str">
        <f t="shared" si="0"/>
        <v>Bajo</v>
      </c>
      <c r="V44" s="26">
        <v>1</v>
      </c>
      <c r="W44" s="38" t="s">
        <v>870</v>
      </c>
      <c r="X44" s="35" t="str">
        <f t="shared" si="23"/>
        <v>Probabilidad</v>
      </c>
      <c r="Y44" s="42" t="s">
        <v>755</v>
      </c>
      <c r="Z44" s="42" t="s">
        <v>756</v>
      </c>
      <c r="AA44" s="43" t="str">
        <f t="shared" si="24"/>
        <v>40%</v>
      </c>
      <c r="AB44" s="42" t="s">
        <v>738</v>
      </c>
      <c r="AC44" s="42" t="s">
        <v>757</v>
      </c>
      <c r="AD44" s="42" t="s">
        <v>758</v>
      </c>
      <c r="AE44" s="726" t="s">
        <v>1726</v>
      </c>
      <c r="AF44" s="27">
        <f>IFERROR(IF(X44="Probabilidad",(P44-(P44*AA44)),IF(X44="Impacto",P44,"")),"")</f>
        <v>0.24</v>
      </c>
      <c r="AG44" s="37" t="str">
        <f t="shared" si="25"/>
        <v>Baja</v>
      </c>
      <c r="AH44" s="27">
        <f>IFERROR(IF(X44="Impacto",(S44-(S44*AA44)),IF(X44="Probabilidad",S44,"")),"")</f>
        <v>0.2</v>
      </c>
      <c r="AI44" s="37" t="str">
        <f t="shared" si="26"/>
        <v>Leve</v>
      </c>
      <c r="AJ44" s="36">
        <f t="shared" si="27"/>
        <v>4.8000000000000001E-2</v>
      </c>
      <c r="AK44" s="340" t="str">
        <f t="shared" si="4"/>
        <v>Bajo</v>
      </c>
      <c r="AL44" s="37" t="str">
        <f>+AK44</f>
        <v>Bajo</v>
      </c>
      <c r="AM44" s="26" t="s">
        <v>759</v>
      </c>
      <c r="AN44" s="38" t="s">
        <v>1570</v>
      </c>
      <c r="AO44" s="38" t="s">
        <v>1566</v>
      </c>
      <c r="AP44" s="336">
        <v>45504</v>
      </c>
      <c r="AQ44" s="336" t="s">
        <v>762</v>
      </c>
      <c r="AR44" s="38" t="s">
        <v>1567</v>
      </c>
      <c r="AS44" s="41" t="s">
        <v>1554</v>
      </c>
    </row>
    <row r="45" spans="2:45" s="30" customFormat="1" ht="93.75" customHeight="1" x14ac:dyDescent="0.25">
      <c r="B45" s="554" t="s">
        <v>792</v>
      </c>
      <c r="C45" s="554" t="s">
        <v>862</v>
      </c>
      <c r="D45" s="563" t="s">
        <v>1709</v>
      </c>
      <c r="E45" s="586" t="s">
        <v>1571</v>
      </c>
      <c r="F45" s="727" t="s">
        <v>1718</v>
      </c>
      <c r="G45" s="729" t="s">
        <v>871</v>
      </c>
      <c r="H45" s="730" t="s">
        <v>747</v>
      </c>
      <c r="I45" s="730" t="s">
        <v>748</v>
      </c>
      <c r="J45" s="731" t="s">
        <v>5</v>
      </c>
      <c r="K45" s="731" t="s">
        <v>865</v>
      </c>
      <c r="L45" s="729" t="s">
        <v>751</v>
      </c>
      <c r="M45" s="731" t="s">
        <v>752</v>
      </c>
      <c r="N45" s="731">
        <v>15</v>
      </c>
      <c r="O45" s="573" t="str">
        <f>IF(N45&lt;=0,"",IF(N45&lt;=2,"Muy Baja",IF(N45&lt;=24,"Baja",IF(N45&lt;=500,"Media",IF(N45&lt;=5000,"Alta","Muy Alta")))))</f>
        <v>Baja</v>
      </c>
      <c r="P45" s="570">
        <f>+VLOOKUP(O45,Probabilidad!$B$5:$C$9,2,FALSE)</f>
        <v>0.4</v>
      </c>
      <c r="Q45" s="730" t="s">
        <v>786</v>
      </c>
      <c r="R45" s="573" t="str">
        <f>+VLOOKUP(Q45,Impacto!$B$5:$D$9,2,FALSE)</f>
        <v>Leve</v>
      </c>
      <c r="S45" s="570">
        <f>+VLOOKUP(Q45,Impacto!$B$5:$D$9,3,FALSE)</f>
        <v>0.2</v>
      </c>
      <c r="T45" s="570">
        <f>+P45*S45</f>
        <v>8.0000000000000016E-2</v>
      </c>
      <c r="U45" s="732" t="str">
        <f t="shared" si="0"/>
        <v>Bajo</v>
      </c>
      <c r="V45" s="733">
        <v>1</v>
      </c>
      <c r="W45" s="734" t="s">
        <v>872</v>
      </c>
      <c r="X45" s="735" t="str">
        <f t="shared" si="23"/>
        <v>Probabilidad</v>
      </c>
      <c r="Y45" s="736" t="s">
        <v>755</v>
      </c>
      <c r="Z45" s="736" t="s">
        <v>756</v>
      </c>
      <c r="AA45" s="737" t="str">
        <f t="shared" si="24"/>
        <v>40%</v>
      </c>
      <c r="AB45" s="736" t="s">
        <v>738</v>
      </c>
      <c r="AC45" s="736" t="s">
        <v>757</v>
      </c>
      <c r="AD45" s="736" t="s">
        <v>758</v>
      </c>
      <c r="AE45" s="726" t="s">
        <v>1727</v>
      </c>
      <c r="AF45" s="27">
        <f>IFERROR(IF(X45="Probabilidad",(P45-(P45*AA45)),IF(X45="Impacto",P45,"")),"")</f>
        <v>0.24</v>
      </c>
      <c r="AG45" s="37" t="str">
        <f t="shared" si="25"/>
        <v>Baja</v>
      </c>
      <c r="AH45" s="27">
        <f>IFERROR(IF(X45="Impacto",(S45-(S45*AA45)),IF(X45="Probabilidad",S45,"")),"")</f>
        <v>0.2</v>
      </c>
      <c r="AI45" s="37" t="str">
        <f t="shared" si="26"/>
        <v>Leve</v>
      </c>
      <c r="AJ45" s="36">
        <f t="shared" si="27"/>
        <v>4.8000000000000001E-2</v>
      </c>
      <c r="AK45" s="340" t="str">
        <f t="shared" si="4"/>
        <v>Bajo</v>
      </c>
      <c r="AL45" s="614" t="str">
        <f>+AK46</f>
        <v>Bajo</v>
      </c>
      <c r="AM45" s="563" t="s">
        <v>759</v>
      </c>
      <c r="AN45" s="26"/>
      <c r="AO45" s="26"/>
      <c r="AP45" s="26"/>
      <c r="AQ45" s="26"/>
      <c r="AR45" s="26"/>
      <c r="AS45" s="26"/>
    </row>
    <row r="46" spans="2:45" s="30" customFormat="1" ht="63.75" x14ac:dyDescent="0.25">
      <c r="B46" s="555"/>
      <c r="C46" s="555"/>
      <c r="D46" s="564"/>
      <c r="E46" s="588"/>
      <c r="F46" s="728"/>
      <c r="G46" s="738"/>
      <c r="H46" s="739"/>
      <c r="I46" s="739"/>
      <c r="J46" s="740"/>
      <c r="K46" s="740"/>
      <c r="L46" s="738"/>
      <c r="M46" s="740"/>
      <c r="N46" s="740"/>
      <c r="O46" s="575"/>
      <c r="P46" s="572"/>
      <c r="Q46" s="739"/>
      <c r="R46" s="575" t="e">
        <f>+VLOOKUP(Q46,Impacto!$B$5:$D$9,2,FALSE)</f>
        <v>#N/A</v>
      </c>
      <c r="S46" s="572" t="e">
        <f>+VLOOKUP(Q46,Impacto!$B$5:$D$9,3,FALSE)</f>
        <v>#N/A</v>
      </c>
      <c r="T46" s="572"/>
      <c r="U46" s="741" t="str">
        <f t="shared" si="0"/>
        <v>Bajo</v>
      </c>
      <c r="V46" s="733">
        <v>2</v>
      </c>
      <c r="W46" s="734" t="s">
        <v>873</v>
      </c>
      <c r="X46" s="735" t="str">
        <f t="shared" si="23"/>
        <v>Probabilidad</v>
      </c>
      <c r="Y46" s="736" t="s">
        <v>755</v>
      </c>
      <c r="Z46" s="736" t="s">
        <v>756</v>
      </c>
      <c r="AA46" s="737" t="str">
        <f t="shared" si="24"/>
        <v>40%</v>
      </c>
      <c r="AB46" s="736" t="s">
        <v>738</v>
      </c>
      <c r="AC46" s="736" t="s">
        <v>757</v>
      </c>
      <c r="AD46" s="736" t="s">
        <v>758</v>
      </c>
      <c r="AE46" s="726" t="s">
        <v>1719</v>
      </c>
      <c r="AF46" s="27">
        <f>IFERROR(IF(AND(X45="Probabilidad",X46="Probabilidad"),(AF45-(+AF45*AA46)),IF(X46="Probabilidad",(P45-(P45*AA46)),IF(X46="Impacto",P45,""))),"")</f>
        <v>0.14399999999999999</v>
      </c>
      <c r="AG46" s="37" t="str">
        <f t="shared" si="25"/>
        <v>Muy Baja</v>
      </c>
      <c r="AH46" s="27">
        <f>IFERROR(IF(AND(X45="Impacto",X46="Impacto"),(AH45-(+AH45*AA46)),IF(X46="Impacto",(S45-(+S45*AA46)),IF(X46="Probabilidad",AH45,""))),"")</f>
        <v>0.2</v>
      </c>
      <c r="AI46" s="37" t="str">
        <f t="shared" si="26"/>
        <v>Leve</v>
      </c>
      <c r="AJ46" s="36">
        <f t="shared" si="27"/>
        <v>2.8799999999999999E-2</v>
      </c>
      <c r="AK46" s="340" t="str">
        <f t="shared" si="4"/>
        <v>Bajo</v>
      </c>
      <c r="AL46" s="616"/>
      <c r="AM46" s="564"/>
      <c r="AN46" s="26"/>
      <c r="AO46" s="26"/>
      <c r="AP46" s="26"/>
      <c r="AQ46" s="26"/>
      <c r="AR46" s="26"/>
      <c r="AS46" s="26"/>
    </row>
    <row r="47" spans="2:45" s="30" customFormat="1" ht="106.5" customHeight="1" x14ac:dyDescent="0.25">
      <c r="B47" s="28" t="s">
        <v>792</v>
      </c>
      <c r="C47" s="28" t="s">
        <v>862</v>
      </c>
      <c r="D47" s="26" t="s">
        <v>874</v>
      </c>
      <c r="E47" s="39" t="s">
        <v>875</v>
      </c>
      <c r="F47" s="49" t="s">
        <v>1366</v>
      </c>
      <c r="G47" s="46" t="s">
        <v>876</v>
      </c>
      <c r="H47" s="28" t="s">
        <v>747</v>
      </c>
      <c r="I47" s="28" t="s">
        <v>748</v>
      </c>
      <c r="J47" s="28" t="s">
        <v>5</v>
      </c>
      <c r="K47" s="26" t="s">
        <v>865</v>
      </c>
      <c r="L47" s="38" t="s">
        <v>751</v>
      </c>
      <c r="M47" s="26" t="s">
        <v>752</v>
      </c>
      <c r="N47" s="26">
        <v>4</v>
      </c>
      <c r="O47" s="369" t="str">
        <f>IF(N47&lt;=0,"",IF(N47&lt;=2,"Muy Baja",IF(N47&lt;=24,"Baja",IF(N47&lt;=500,"Media",IF(N47&lt;=5000,"Alta","Muy Alta")))))</f>
        <v>Baja</v>
      </c>
      <c r="P47" s="344">
        <f>+VLOOKUP(O47,Probabilidad!$B$5:$C$9,2,FALSE)</f>
        <v>0.4</v>
      </c>
      <c r="Q47" s="343" t="s">
        <v>786</v>
      </c>
      <c r="R47" s="369" t="str">
        <f>+VLOOKUP(Q47,Impacto!$B$5:$D$9,2,FALSE)</f>
        <v>Leve</v>
      </c>
      <c r="S47" s="344">
        <f>+VLOOKUP(Q47,Impacto!$B$5:$D$9,3,FALSE)</f>
        <v>0.2</v>
      </c>
      <c r="T47" s="344">
        <f>+P47*S47</f>
        <v>8.0000000000000016E-2</v>
      </c>
      <c r="U47" s="346" t="str">
        <f t="shared" si="0"/>
        <v>Bajo</v>
      </c>
      <c r="V47" s="26">
        <v>1</v>
      </c>
      <c r="W47" s="38" t="s">
        <v>877</v>
      </c>
      <c r="X47" s="35" t="str">
        <f t="shared" si="23"/>
        <v>Probabilidad</v>
      </c>
      <c r="Y47" s="42" t="s">
        <v>755</v>
      </c>
      <c r="Z47" s="42" t="s">
        <v>756</v>
      </c>
      <c r="AA47" s="43" t="str">
        <f t="shared" si="24"/>
        <v>40%</v>
      </c>
      <c r="AB47" s="42" t="s">
        <v>738</v>
      </c>
      <c r="AC47" s="42" t="s">
        <v>757</v>
      </c>
      <c r="AD47" s="42" t="s">
        <v>758</v>
      </c>
      <c r="AE47" s="39" t="s">
        <v>878</v>
      </c>
      <c r="AF47" s="27">
        <f>IFERROR(IF(X47="Probabilidad",(P47-(P47*AA47)),IF(X47="Impacto",P47,"")),"")</f>
        <v>0.24</v>
      </c>
      <c r="AG47" s="37" t="str">
        <f t="shared" si="25"/>
        <v>Baja</v>
      </c>
      <c r="AH47" s="27">
        <f>IFERROR(IF(X47="Impacto",(S47-(S47*AA47)),IF(X47="Probabilidad",S47,"")),"")</f>
        <v>0.2</v>
      </c>
      <c r="AI47" s="37" t="str">
        <f t="shared" si="26"/>
        <v>Leve</v>
      </c>
      <c r="AJ47" s="36">
        <f t="shared" si="27"/>
        <v>4.8000000000000001E-2</v>
      </c>
      <c r="AK47" s="340" t="str">
        <f t="shared" si="4"/>
        <v>Bajo</v>
      </c>
      <c r="AL47" s="37" t="str">
        <f>+AK47</f>
        <v>Bajo</v>
      </c>
      <c r="AM47" s="26" t="s">
        <v>759</v>
      </c>
      <c r="AN47" s="26"/>
      <c r="AO47" s="26"/>
      <c r="AP47" s="26"/>
      <c r="AQ47" s="26"/>
      <c r="AR47" s="26"/>
      <c r="AS47" s="26"/>
    </row>
    <row r="48" spans="2:45" s="30" customFormat="1" ht="106.5" customHeight="1" x14ac:dyDescent="0.25">
      <c r="B48" s="554" t="s">
        <v>792</v>
      </c>
      <c r="C48" s="554" t="s">
        <v>862</v>
      </c>
      <c r="D48" s="563" t="s">
        <v>879</v>
      </c>
      <c r="E48" s="586" t="s">
        <v>880</v>
      </c>
      <c r="F48" s="586" t="s">
        <v>1365</v>
      </c>
      <c r="G48" s="579" t="s">
        <v>871</v>
      </c>
      <c r="H48" s="554" t="s">
        <v>747</v>
      </c>
      <c r="I48" s="554" t="s">
        <v>748</v>
      </c>
      <c r="J48" s="554" t="s">
        <v>5</v>
      </c>
      <c r="K48" s="563" t="s">
        <v>865</v>
      </c>
      <c r="L48" s="579" t="s">
        <v>751</v>
      </c>
      <c r="M48" s="563" t="s">
        <v>752</v>
      </c>
      <c r="N48" s="563">
        <v>2</v>
      </c>
      <c r="O48" s="596" t="str">
        <f>IF(N48&lt;=0,"",IF(N48&lt;=2,"Muy Baja",IF(N48&lt;=24,"Baja",IF(N48&lt;=500,"Media",IF(N48&lt;=5000,"Alta","Muy Alta")))))</f>
        <v>Muy Baja</v>
      </c>
      <c r="P48" s="594">
        <f>+VLOOKUP(O48,Probabilidad!$B$5:$C$9,2,FALSE)</f>
        <v>0.2</v>
      </c>
      <c r="Q48" s="554" t="s">
        <v>786</v>
      </c>
      <c r="R48" s="596" t="str">
        <f>+VLOOKUP(Q48,Impacto!$B$5:$D$9,2,FALSE)</f>
        <v>Leve</v>
      </c>
      <c r="S48" s="594">
        <f>+VLOOKUP(Q48,Impacto!$B$5:$D$9,3,FALSE)</f>
        <v>0.2</v>
      </c>
      <c r="T48" s="594">
        <f>+P48*S48</f>
        <v>4.0000000000000008E-2</v>
      </c>
      <c r="U48" s="567" t="str">
        <f t="shared" si="0"/>
        <v>Bajo</v>
      </c>
      <c r="V48" s="40">
        <v>1</v>
      </c>
      <c r="W48" s="38" t="s">
        <v>881</v>
      </c>
      <c r="X48" s="35" t="str">
        <f t="shared" si="23"/>
        <v>Probabilidad</v>
      </c>
      <c r="Y48" s="42" t="s">
        <v>755</v>
      </c>
      <c r="Z48" s="42" t="s">
        <v>756</v>
      </c>
      <c r="AA48" s="43" t="str">
        <f t="shared" si="24"/>
        <v>40%</v>
      </c>
      <c r="AB48" s="42" t="s">
        <v>738</v>
      </c>
      <c r="AC48" s="42" t="s">
        <v>757</v>
      </c>
      <c r="AD48" s="42" t="s">
        <v>758</v>
      </c>
      <c r="AE48" s="39" t="s">
        <v>882</v>
      </c>
      <c r="AF48" s="27">
        <f>IFERROR(IF(X48="Probabilidad",(P48-(P48*AA48)),IF(X48="Impacto",P48,"")),"")</f>
        <v>0.12</v>
      </c>
      <c r="AG48" s="37" t="str">
        <f t="shared" si="25"/>
        <v>Muy Baja</v>
      </c>
      <c r="AH48" s="27">
        <f>IFERROR(IF(X48="Impacto",(S48-(S48*AA48)),IF(X48="Probabilidad",S48,"")),"")</f>
        <v>0.2</v>
      </c>
      <c r="AI48" s="37" t="str">
        <f t="shared" si="26"/>
        <v>Leve</v>
      </c>
      <c r="AJ48" s="36">
        <f t="shared" si="27"/>
        <v>2.4E-2</v>
      </c>
      <c r="AK48" s="340" t="str">
        <f t="shared" si="4"/>
        <v>Bajo</v>
      </c>
      <c r="AL48" s="614" t="str">
        <f>+AK50</f>
        <v>Bajo</v>
      </c>
      <c r="AM48" s="563" t="s">
        <v>759</v>
      </c>
      <c r="AN48" s="26"/>
      <c r="AO48" s="26"/>
      <c r="AP48" s="26"/>
      <c r="AQ48" s="26"/>
      <c r="AR48" s="26"/>
      <c r="AS48" s="26"/>
    </row>
    <row r="49" spans="2:45" s="30" customFormat="1" ht="106.5" customHeight="1" x14ac:dyDescent="0.25">
      <c r="B49" s="566"/>
      <c r="C49" s="566"/>
      <c r="D49" s="598"/>
      <c r="E49" s="587"/>
      <c r="F49" s="587"/>
      <c r="G49" s="585"/>
      <c r="H49" s="566"/>
      <c r="I49" s="566"/>
      <c r="J49" s="566"/>
      <c r="K49" s="598"/>
      <c r="L49" s="585"/>
      <c r="M49" s="598"/>
      <c r="N49" s="598"/>
      <c r="O49" s="602"/>
      <c r="P49" s="601"/>
      <c r="Q49" s="566"/>
      <c r="R49" s="602" t="e">
        <f>+VLOOKUP(Q49,Impacto!$B$5:$D$9,2,FALSE)</f>
        <v>#N/A</v>
      </c>
      <c r="S49" s="601" t="e">
        <f>+VLOOKUP(Q49,Impacto!$B$5:$D$9,3,FALSE)</f>
        <v>#N/A</v>
      </c>
      <c r="T49" s="601"/>
      <c r="U49" s="568" t="str">
        <f t="shared" si="0"/>
        <v>Bajo</v>
      </c>
      <c r="V49" s="40">
        <v>2</v>
      </c>
      <c r="W49" s="38" t="s">
        <v>883</v>
      </c>
      <c r="X49" s="35" t="str">
        <f t="shared" si="23"/>
        <v>Probabilidad</v>
      </c>
      <c r="Y49" s="42" t="s">
        <v>755</v>
      </c>
      <c r="Z49" s="42" t="s">
        <v>756</v>
      </c>
      <c r="AA49" s="43" t="str">
        <f t="shared" si="24"/>
        <v>40%</v>
      </c>
      <c r="AB49" s="42" t="s">
        <v>738</v>
      </c>
      <c r="AC49" s="42" t="s">
        <v>757</v>
      </c>
      <c r="AD49" s="42" t="s">
        <v>758</v>
      </c>
      <c r="AE49" s="39" t="s">
        <v>884</v>
      </c>
      <c r="AF49" s="27">
        <f>IFERROR(IF(AND(X48="Probabilidad",X49="Probabilidad"),(AF48-(+AF48*AA49)),IF(X49="Probabilidad",(P48-(P48*AA49)),IF(X49="Impacto",P48,""))),"")</f>
        <v>7.1999999999999995E-2</v>
      </c>
      <c r="AG49" s="37" t="str">
        <f t="shared" si="25"/>
        <v>Muy Baja</v>
      </c>
      <c r="AH49" s="27">
        <f>IFERROR(IF(AND(X48="Impacto",X49="Impacto"),(AH48-(+AH48*AA49)),IF(X49="Impacto",(S48-(+S48*AA49)),IF(X49="Probabilidad",AH48,""))),"")</f>
        <v>0.2</v>
      </c>
      <c r="AI49" s="37" t="str">
        <f t="shared" si="26"/>
        <v>Leve</v>
      </c>
      <c r="AJ49" s="36">
        <f t="shared" si="27"/>
        <v>1.44E-2</v>
      </c>
      <c r="AK49" s="340" t="str">
        <f t="shared" si="4"/>
        <v>Bajo</v>
      </c>
      <c r="AL49" s="615"/>
      <c r="AM49" s="598"/>
      <c r="AN49" s="26"/>
      <c r="AO49" s="26"/>
      <c r="AP49" s="26"/>
      <c r="AQ49" s="26"/>
      <c r="AR49" s="26"/>
      <c r="AS49" s="26"/>
    </row>
    <row r="50" spans="2:45" s="30" customFormat="1" ht="106.5" customHeight="1" x14ac:dyDescent="0.25">
      <c r="B50" s="555"/>
      <c r="C50" s="555"/>
      <c r="D50" s="564"/>
      <c r="E50" s="588"/>
      <c r="F50" s="588"/>
      <c r="G50" s="580"/>
      <c r="H50" s="555"/>
      <c r="I50" s="555"/>
      <c r="J50" s="555"/>
      <c r="K50" s="564"/>
      <c r="L50" s="580"/>
      <c r="M50" s="564"/>
      <c r="N50" s="564"/>
      <c r="O50" s="597"/>
      <c r="P50" s="595"/>
      <c r="Q50" s="555"/>
      <c r="R50" s="597" t="e">
        <f>+VLOOKUP(Q50,Impacto!$B$5:$D$9,2,FALSE)</f>
        <v>#N/A</v>
      </c>
      <c r="S50" s="595" t="e">
        <f>+VLOOKUP(Q50,Impacto!$B$5:$D$9,3,FALSE)</f>
        <v>#N/A</v>
      </c>
      <c r="T50" s="595"/>
      <c r="U50" s="569" t="str">
        <f t="shared" si="0"/>
        <v>Bajo</v>
      </c>
      <c r="V50" s="40">
        <v>3</v>
      </c>
      <c r="W50" s="39" t="s">
        <v>885</v>
      </c>
      <c r="X50" s="35" t="str">
        <f t="shared" si="23"/>
        <v>Probabilidad</v>
      </c>
      <c r="Y50" s="42" t="s">
        <v>755</v>
      </c>
      <c r="Z50" s="42" t="s">
        <v>756</v>
      </c>
      <c r="AA50" s="43" t="str">
        <f t="shared" si="24"/>
        <v>40%</v>
      </c>
      <c r="AB50" s="42" t="s">
        <v>738</v>
      </c>
      <c r="AC50" s="42" t="s">
        <v>757</v>
      </c>
      <c r="AD50" s="42" t="s">
        <v>758</v>
      </c>
      <c r="AE50" s="39" t="s">
        <v>1438</v>
      </c>
      <c r="AF50" s="27">
        <f>IFERROR(IF(AND(X49="Probabilidad",X50="Probabilidad"),(AF49-(+AF49*AA50)),IF(X50="Probabilidad",(P48-(P48*AA50)),IF(X50="Impacto",P48,""))),"")</f>
        <v>4.3199999999999995E-2</v>
      </c>
      <c r="AG50" s="37" t="str">
        <f t="shared" si="25"/>
        <v>Muy Baja</v>
      </c>
      <c r="AH50" s="27">
        <f>IFERROR(IF(AND(X49="Impacto",X50="Impacto"),(AH49-(+AH49*AA50)),IF(X50="Impacto",(S48-(+S48*AA50)),IF(X50="Probabilidad",AH49,""))),"")</f>
        <v>0.2</v>
      </c>
      <c r="AI50" s="37" t="str">
        <f t="shared" si="26"/>
        <v>Leve</v>
      </c>
      <c r="AJ50" s="36">
        <f t="shared" si="27"/>
        <v>8.6400000000000001E-3</v>
      </c>
      <c r="AK50" s="340" t="str">
        <f t="shared" si="4"/>
        <v>Bajo</v>
      </c>
      <c r="AL50" s="616"/>
      <c r="AM50" s="564"/>
      <c r="AN50" s="26"/>
      <c r="AO50" s="26"/>
      <c r="AP50" s="26"/>
      <c r="AQ50" s="26"/>
      <c r="AR50" s="26"/>
      <c r="AS50" s="26"/>
    </row>
    <row r="51" spans="2:45" s="30" customFormat="1" ht="63.75" x14ac:dyDescent="0.25">
      <c r="B51" s="554" t="s">
        <v>886</v>
      </c>
      <c r="C51" s="554" t="s">
        <v>886</v>
      </c>
      <c r="D51" s="563" t="s">
        <v>887</v>
      </c>
      <c r="E51" s="599" t="s">
        <v>888</v>
      </c>
      <c r="F51" s="554" t="s">
        <v>1600</v>
      </c>
      <c r="G51" s="554" t="s">
        <v>889</v>
      </c>
      <c r="H51" s="554" t="s">
        <v>747</v>
      </c>
      <c r="I51" s="554" t="s">
        <v>748</v>
      </c>
      <c r="J51" s="563" t="s">
        <v>749</v>
      </c>
      <c r="K51" s="563" t="s">
        <v>750</v>
      </c>
      <c r="L51" s="579" t="s">
        <v>751</v>
      </c>
      <c r="M51" s="581" t="s">
        <v>752</v>
      </c>
      <c r="N51" s="563">
        <v>1426</v>
      </c>
      <c r="O51" s="596" t="str">
        <f>IF(N51&lt;=0,"",IF(N51&lt;=2,"Muy Baja",IF(N51&lt;=24,"Baja",IF(N51&lt;=500,"Media",IF(N51&lt;=5000,"Alta","Muy Alta")))))</f>
        <v>Alta</v>
      </c>
      <c r="P51" s="594">
        <f>+VLOOKUP(O51,Probabilidad!$B$5:$C$9,2,FALSE)</f>
        <v>0.8</v>
      </c>
      <c r="Q51" s="554" t="s">
        <v>770</v>
      </c>
      <c r="R51" s="596" t="str">
        <f>+VLOOKUP(Q51,Impacto!$B$5:$D$9,2,FALSE)</f>
        <v>Moderado</v>
      </c>
      <c r="S51" s="594">
        <f>+VLOOKUP(Q51,Impacto!$B$5:$D$9,3,FALSE)</f>
        <v>0.6</v>
      </c>
      <c r="T51" s="594">
        <f>+P51*S51</f>
        <v>0.48</v>
      </c>
      <c r="U51" s="567" t="str">
        <f t="shared" si="0"/>
        <v>Alto</v>
      </c>
      <c r="V51" s="26">
        <v>1</v>
      </c>
      <c r="W51" s="28" t="s">
        <v>890</v>
      </c>
      <c r="X51" s="35" t="str">
        <f t="shared" si="1"/>
        <v>Probabilidad</v>
      </c>
      <c r="Y51" s="42" t="s">
        <v>755</v>
      </c>
      <c r="Z51" s="42" t="s">
        <v>756</v>
      </c>
      <c r="AA51" s="43" t="str">
        <f t="shared" si="2"/>
        <v>40%</v>
      </c>
      <c r="AB51" s="42" t="s">
        <v>738</v>
      </c>
      <c r="AC51" s="42" t="s">
        <v>757</v>
      </c>
      <c r="AD51" s="42" t="s">
        <v>758</v>
      </c>
      <c r="AE51" s="39" t="s">
        <v>1439</v>
      </c>
      <c r="AF51" s="27">
        <f>IFERROR(IF(X51="Probabilidad",(P51-(P51*AA51)),IF(X51="Impacto",P51,"")),"")</f>
        <v>0.48</v>
      </c>
      <c r="AG51" s="37" t="str">
        <f t="shared" si="25"/>
        <v>Media</v>
      </c>
      <c r="AH51" s="27">
        <f>IFERROR(IF(X51="Impacto",(S51-(S51*AA51)),IF(X51="Probabilidad",S51,"")),"")</f>
        <v>0.6</v>
      </c>
      <c r="AI51" s="37" t="str">
        <f t="shared" si="26"/>
        <v>Moderado</v>
      </c>
      <c r="AJ51" s="36">
        <f t="shared" si="27"/>
        <v>0.28799999999999998</v>
      </c>
      <c r="AK51" s="340" t="str">
        <f t="shared" si="4"/>
        <v>Moderado</v>
      </c>
      <c r="AL51" s="614" t="str">
        <f>+AK54</f>
        <v>Bajo</v>
      </c>
      <c r="AM51" s="563" t="s">
        <v>759</v>
      </c>
      <c r="AN51" s="26"/>
      <c r="AO51" s="26"/>
      <c r="AP51" s="26"/>
      <c r="AQ51" s="26"/>
      <c r="AR51" s="26"/>
      <c r="AS51" s="26"/>
    </row>
    <row r="52" spans="2:45" s="30" customFormat="1" ht="63.75" x14ac:dyDescent="0.25">
      <c r="B52" s="566"/>
      <c r="C52" s="566"/>
      <c r="D52" s="598"/>
      <c r="E52" s="600"/>
      <c r="F52" s="566"/>
      <c r="G52" s="566"/>
      <c r="H52" s="566"/>
      <c r="I52" s="566"/>
      <c r="J52" s="598"/>
      <c r="K52" s="598"/>
      <c r="L52" s="585"/>
      <c r="M52" s="590"/>
      <c r="N52" s="598"/>
      <c r="O52" s="602"/>
      <c r="P52" s="601"/>
      <c r="Q52" s="566"/>
      <c r="R52" s="602"/>
      <c r="S52" s="601"/>
      <c r="T52" s="601"/>
      <c r="U52" s="568"/>
      <c r="V52" s="26">
        <v>2</v>
      </c>
      <c r="W52" s="28" t="s">
        <v>891</v>
      </c>
      <c r="X52" s="35" t="str">
        <f t="shared" si="1"/>
        <v>Probabilidad</v>
      </c>
      <c r="Y52" s="42" t="s">
        <v>755</v>
      </c>
      <c r="Z52" s="42" t="s">
        <v>756</v>
      </c>
      <c r="AA52" s="43" t="str">
        <f t="shared" si="2"/>
        <v>40%</v>
      </c>
      <c r="AB52" s="42" t="s">
        <v>738</v>
      </c>
      <c r="AC52" s="42" t="s">
        <v>757</v>
      </c>
      <c r="AD52" s="42" t="s">
        <v>758</v>
      </c>
      <c r="AE52" s="38" t="s">
        <v>1440</v>
      </c>
      <c r="AF52" s="27">
        <f>IFERROR(IF(AND(X51="Probabilidad",X52="Probabilidad"),(AF51-(+AF51*AA52)),IF(X52="Probabilidad",(P51-(P51*AA52)),IF(X52="Impacto",P51,""))),"")</f>
        <v>0.28799999999999998</v>
      </c>
      <c r="AG52" s="37" t="str">
        <f t="shared" si="25"/>
        <v>Baja</v>
      </c>
      <c r="AH52" s="27">
        <f>IFERROR(IF(AND(X51="Impacto",X52="Impacto"),(AH51-(+AH51*AA52)),IF(X52="Impacto",(S51-(+S51*AA52)),IF(X52="Probabilidad",AH51,""))),"")</f>
        <v>0.6</v>
      </c>
      <c r="AI52" s="37" t="str">
        <f t="shared" si="26"/>
        <v>Moderado</v>
      </c>
      <c r="AJ52" s="36">
        <f t="shared" si="27"/>
        <v>0.17279999999999998</v>
      </c>
      <c r="AK52" s="340" t="str">
        <f t="shared" si="4"/>
        <v>Moderado</v>
      </c>
      <c r="AL52" s="615"/>
      <c r="AM52" s="598"/>
      <c r="AN52" s="26"/>
      <c r="AO52" s="26"/>
      <c r="AP52" s="26"/>
      <c r="AQ52" s="26"/>
      <c r="AR52" s="26"/>
      <c r="AS52" s="26"/>
    </row>
    <row r="53" spans="2:45" s="30" customFormat="1" ht="89.25" x14ac:dyDescent="0.25">
      <c r="B53" s="566"/>
      <c r="C53" s="566"/>
      <c r="D53" s="598"/>
      <c r="E53" s="600"/>
      <c r="F53" s="566"/>
      <c r="G53" s="566"/>
      <c r="H53" s="566"/>
      <c r="I53" s="566"/>
      <c r="J53" s="598"/>
      <c r="K53" s="598"/>
      <c r="L53" s="585"/>
      <c r="M53" s="590"/>
      <c r="N53" s="598"/>
      <c r="O53" s="602"/>
      <c r="P53" s="601"/>
      <c r="Q53" s="566"/>
      <c r="R53" s="602"/>
      <c r="S53" s="601"/>
      <c r="T53" s="601"/>
      <c r="U53" s="568"/>
      <c r="V53" s="26">
        <v>3</v>
      </c>
      <c r="W53" s="38" t="s">
        <v>892</v>
      </c>
      <c r="X53" s="35" t="str">
        <f t="shared" si="1"/>
        <v>Probabilidad</v>
      </c>
      <c r="Y53" s="42" t="s">
        <v>755</v>
      </c>
      <c r="Z53" s="42" t="s">
        <v>756</v>
      </c>
      <c r="AA53" s="43" t="str">
        <f t="shared" si="2"/>
        <v>40%</v>
      </c>
      <c r="AB53" s="42" t="s">
        <v>738</v>
      </c>
      <c r="AC53" s="42" t="s">
        <v>757</v>
      </c>
      <c r="AD53" s="42" t="s">
        <v>758</v>
      </c>
      <c r="AE53" s="38" t="s">
        <v>1708</v>
      </c>
      <c r="AF53" s="27">
        <f>IFERROR(IF(AND(X52="Probabilidad",X53="Probabilidad"),(AF52-(+AF52*AA53)),IF(X53="Probabilidad",(P51-(P51*AA53)),IF(X53="Impacto",P51,""))),"")</f>
        <v>0.17279999999999998</v>
      </c>
      <c r="AG53" s="37" t="str">
        <f t="shared" si="25"/>
        <v>Muy Baja</v>
      </c>
      <c r="AH53" s="27">
        <f>IFERROR(IF(AND(X52="Impacto",X53="Impacto"),(AH52-(+AH52*AA53)),IF(X53="Impacto",(S51-(+S51*AA53)),IF(X53="Probabilidad",AH52,""))),"")</f>
        <v>0.6</v>
      </c>
      <c r="AI53" s="37" t="str">
        <f t="shared" si="26"/>
        <v>Moderado</v>
      </c>
      <c r="AJ53" s="36">
        <f t="shared" si="27"/>
        <v>0.10367999999999998</v>
      </c>
      <c r="AK53" s="340" t="str">
        <f t="shared" si="4"/>
        <v>Bajo</v>
      </c>
      <c r="AL53" s="615"/>
      <c r="AM53" s="598"/>
      <c r="AN53" s="26"/>
      <c r="AO53" s="26"/>
      <c r="AP53" s="26"/>
      <c r="AQ53" s="26"/>
      <c r="AR53" s="26"/>
      <c r="AS53" s="26"/>
    </row>
    <row r="54" spans="2:45" s="30" customFormat="1" ht="63.75" x14ac:dyDescent="0.25">
      <c r="B54" s="566"/>
      <c r="C54" s="555"/>
      <c r="D54" s="598"/>
      <c r="E54" s="600"/>
      <c r="F54" s="555"/>
      <c r="G54" s="555"/>
      <c r="H54" s="566"/>
      <c r="I54" s="566"/>
      <c r="J54" s="598"/>
      <c r="K54" s="598"/>
      <c r="L54" s="585"/>
      <c r="M54" s="590"/>
      <c r="N54" s="598"/>
      <c r="O54" s="602"/>
      <c r="P54" s="601"/>
      <c r="Q54" s="566"/>
      <c r="R54" s="602" t="e">
        <f>+VLOOKUP(Q54,Impacto!$B$5:$D$9,2,FALSE)</f>
        <v>#N/A</v>
      </c>
      <c r="S54" s="601" t="e">
        <f>+VLOOKUP(Q54,Impacto!$B$5:$D$9,3,FALSE)</f>
        <v>#N/A</v>
      </c>
      <c r="T54" s="601"/>
      <c r="U54" s="568" t="str">
        <f t="shared" si="0"/>
        <v>Bajo</v>
      </c>
      <c r="V54" s="26">
        <v>4</v>
      </c>
      <c r="W54" s="38" t="s">
        <v>893</v>
      </c>
      <c r="X54" s="35" t="str">
        <f>IF(OR(Y54="Preventivo",Y54="Detectivo"),"Probabilidad",IF(Y54="Correctivo","Impacto",""))</f>
        <v>Probabilidad</v>
      </c>
      <c r="Y54" s="42" t="s">
        <v>755</v>
      </c>
      <c r="Z54" s="42" t="s">
        <v>756</v>
      </c>
      <c r="AA54" s="43" t="str">
        <f>IF(AND(Y54="Preventivo",Z54="Automático"),"50%",IF(AND(Y54="Preventivo",Z54="Manual"),"40%",IF(AND(Y54="Detectivo",Z54="Automático"),"40%",IF(AND(Y54="Detectivo",Z54="Manual"),"30%",IF(AND(Y54="Correctivo",Z54="Automático"),"35%",IF(AND(Y54="Correctivo",Z54="Manual"),"25%",""))))))</f>
        <v>40%</v>
      </c>
      <c r="AB54" s="42" t="s">
        <v>738</v>
      </c>
      <c r="AC54" s="42" t="s">
        <v>757</v>
      </c>
      <c r="AD54" s="42" t="s">
        <v>758</v>
      </c>
      <c r="AE54" s="38" t="s">
        <v>894</v>
      </c>
      <c r="AF54" s="27">
        <f>IFERROR(IF(AND(X53="Probabilidad",X54="Probabilidad"),(AF53-(+AF53*AA54)),IF(X54="Probabilidad",(P51-(P51*AA54)),IF(X54="Impacto",P51,""))),"")</f>
        <v>0.10367999999999998</v>
      </c>
      <c r="AG54" s="37" t="str">
        <f t="shared" si="25"/>
        <v>Muy Baja</v>
      </c>
      <c r="AH54" s="27">
        <f>IFERROR(IF(AND(X53="Impacto",X54="Impacto"),(AH53-(+AH53*AA54)),IF(X54="Impacto",(S51-(+S51*AA54)),IF(X54="Probabilidad",AH53,""))),"")</f>
        <v>0.6</v>
      </c>
      <c r="AI54" s="37" t="str">
        <f t="shared" si="26"/>
        <v>Moderado</v>
      </c>
      <c r="AJ54" s="36">
        <f t="shared" si="27"/>
        <v>6.2207999999999986E-2</v>
      </c>
      <c r="AK54" s="340" t="str">
        <f t="shared" si="4"/>
        <v>Bajo</v>
      </c>
      <c r="AL54" s="615"/>
      <c r="AM54" s="564"/>
      <c r="AN54" s="26"/>
      <c r="AO54" s="26"/>
      <c r="AP54" s="26"/>
      <c r="AQ54" s="26"/>
      <c r="AR54" s="26"/>
      <c r="AS54" s="26"/>
    </row>
    <row r="55" spans="2:45" s="30" customFormat="1" ht="126" customHeight="1" x14ac:dyDescent="0.25">
      <c r="B55" s="48" t="s">
        <v>886</v>
      </c>
      <c r="C55" s="48" t="s">
        <v>886</v>
      </c>
      <c r="D55" s="47" t="s">
        <v>895</v>
      </c>
      <c r="E55" s="38" t="s">
        <v>896</v>
      </c>
      <c r="F55" s="38" t="s">
        <v>897</v>
      </c>
      <c r="G55" s="28" t="s">
        <v>898</v>
      </c>
      <c r="H55" s="48" t="s">
        <v>747</v>
      </c>
      <c r="I55" s="48" t="s">
        <v>748</v>
      </c>
      <c r="J55" s="47" t="s">
        <v>749</v>
      </c>
      <c r="K55" s="47" t="s">
        <v>750</v>
      </c>
      <c r="L55" s="46" t="s">
        <v>751</v>
      </c>
      <c r="M55" s="338" t="s">
        <v>752</v>
      </c>
      <c r="N55" s="47">
        <v>12</v>
      </c>
      <c r="O55" s="369" t="str">
        <f>IF(N55&lt;=0,"",IF(N55&lt;=2,"Muy Baja",IF(N55&lt;=24,"Baja",IF(N55&lt;=500,"Media",IF(N55&lt;=5000,"Alta","Muy Alta")))))</f>
        <v>Baja</v>
      </c>
      <c r="P55" s="367">
        <f>+VLOOKUP(O55,Probabilidad!$B$5:$C$9,2,FALSE)</f>
        <v>0.4</v>
      </c>
      <c r="Q55" s="48" t="s">
        <v>770</v>
      </c>
      <c r="R55" s="369" t="str">
        <f>+VLOOKUP(Q55,Impacto!$B$5:$D$9,2,FALSE)</f>
        <v>Moderado</v>
      </c>
      <c r="S55" s="367">
        <f>+VLOOKUP(Q55,Impacto!$B$5:$D$9,3,FALSE)</f>
        <v>0.6</v>
      </c>
      <c r="T55" s="367">
        <f>+P55*S55</f>
        <v>0.24</v>
      </c>
      <c r="U55" s="346" t="str">
        <f t="shared" ref="U55" si="28">+IF(T55&lt;=11%,"Bajo",IF(AND(T55&gt;=12%,T55&lt;=39%),"Moderado",IF(AND(T55&gt;=40%,T55&lt;=64%),"Alto",IF(T55&gt;64%,"Extremo",""))))</f>
        <v>Moderado</v>
      </c>
      <c r="V55" s="26">
        <v>1</v>
      </c>
      <c r="W55" s="342" t="s">
        <v>1713</v>
      </c>
      <c r="X55" s="35" t="str">
        <f t="shared" ref="X55" si="29">IF(OR(Y55="Preventivo",Y55="Detectivo"),"Probabilidad",IF(Y55="Correctivo","Impacto",""))</f>
        <v>Probabilidad</v>
      </c>
      <c r="Y55" s="42" t="s">
        <v>755</v>
      </c>
      <c r="Z55" s="42" t="s">
        <v>756</v>
      </c>
      <c r="AA55" s="43" t="str">
        <f t="shared" ref="AA55" si="30">IF(AND(Y55="Preventivo",Z55="Automático"),"50%",IF(AND(Y55="Preventivo",Z55="Manual"),"40%",IF(AND(Y55="Detectivo",Z55="Automático"),"40%",IF(AND(Y55="Detectivo",Z55="Manual"),"30%",IF(AND(Y55="Correctivo",Z55="Automático"),"35%",IF(AND(Y55="Correctivo",Z55="Manual"),"25%",""))))))</f>
        <v>40%</v>
      </c>
      <c r="AB55" s="42" t="s">
        <v>738</v>
      </c>
      <c r="AC55" s="42" t="s">
        <v>757</v>
      </c>
      <c r="AD55" s="42" t="s">
        <v>758</v>
      </c>
      <c r="AE55" s="342" t="s">
        <v>1601</v>
      </c>
      <c r="AF55" s="27">
        <f>IFERROR(IF(X55="Probabilidad",(P55-(P55*AA55)),IF(X55="Impacto",P55,"")),"")</f>
        <v>0.24</v>
      </c>
      <c r="AG55" s="37" t="str">
        <f t="shared" ref="AG55" si="31">IFERROR(IF(AF55="","",IF(AF55&lt;=0.2,"Muy Baja",IF(AF55&lt;=0.4,"Baja",IF(AF55&lt;=0.6,"Media",IF(AF55&lt;=0.8,"Alta","Muy Alta"))))),"")</f>
        <v>Baja</v>
      </c>
      <c r="AH55" s="27">
        <f>IFERROR(IF(X55="Impacto",(S55-(S55*AA55)),IF(X55="Probabilidad",S55,"")),"")</f>
        <v>0.6</v>
      </c>
      <c r="AI55" s="37" t="str">
        <f t="shared" ref="AI55" si="32">IFERROR(IF(AH55="","",IF(AH55&lt;=0.2,"Leve",IF(AH55&lt;=0.4,"Menor",IF(AH55&lt;=0.6,"Moderado",IF(AH55&lt;=0.8,"Mayor","Catastrófico"))))),"")</f>
        <v>Moderado</v>
      </c>
      <c r="AJ55" s="36">
        <f t="shared" ref="AJ55" si="33">+AF55*AH55</f>
        <v>0.14399999999999999</v>
      </c>
      <c r="AK55" s="340" t="str">
        <f t="shared" ref="AK55" si="34">+IF(AJ55&lt;=11%,"Bajo",IF(AND(AJ55&gt;=12%,AJ55&lt;=39%),"Moderado",IF(AND(AJ55&gt;=40%,AJ55&lt;=64%),"Alto",IF(AJ55&gt;64%,"Extremo",""))))</f>
        <v>Moderado</v>
      </c>
      <c r="AL55" s="340" t="str">
        <f>+AK55</f>
        <v>Moderado</v>
      </c>
      <c r="AM55" s="26" t="s">
        <v>759</v>
      </c>
      <c r="AN55" s="26"/>
      <c r="AO55" s="26"/>
      <c r="AP55" s="26"/>
      <c r="AQ55" s="26"/>
      <c r="AR55" s="26"/>
      <c r="AS55" s="26"/>
    </row>
    <row r="56" spans="2:45" s="30" customFormat="1" ht="126" customHeight="1" x14ac:dyDescent="0.25">
      <c r="B56" s="554" t="s">
        <v>886</v>
      </c>
      <c r="C56" s="554" t="s">
        <v>886</v>
      </c>
      <c r="D56" s="563" t="s">
        <v>899</v>
      </c>
      <c r="E56" s="560" t="s">
        <v>900</v>
      </c>
      <c r="F56" s="560" t="s">
        <v>901</v>
      </c>
      <c r="G56" s="554" t="s">
        <v>902</v>
      </c>
      <c r="H56" s="554" t="s">
        <v>747</v>
      </c>
      <c r="I56" s="554" t="s">
        <v>748</v>
      </c>
      <c r="J56" s="563" t="s">
        <v>749</v>
      </c>
      <c r="K56" s="563" t="s">
        <v>750</v>
      </c>
      <c r="L56" s="579" t="s">
        <v>751</v>
      </c>
      <c r="M56" s="581" t="s">
        <v>752</v>
      </c>
      <c r="N56" s="563">
        <v>120</v>
      </c>
      <c r="O56" s="596" t="str">
        <f>IF(N56&lt;=0,"",IF(N56&lt;=2,"Muy Baja",IF(N56&lt;=24,"Baja",IF(N56&lt;=500,"Media",IF(N56&lt;=5000,"Alta","Muy Alta")))))</f>
        <v>Media</v>
      </c>
      <c r="P56" s="594">
        <f>+VLOOKUP(O56,Probabilidad!$B$5:$C$9,2,FALSE)</f>
        <v>0.6</v>
      </c>
      <c r="Q56" s="554" t="s">
        <v>770</v>
      </c>
      <c r="R56" s="596" t="str">
        <f>+VLOOKUP(Q56,Impacto!$B$5:$D$9,2,FALSE)</f>
        <v>Moderado</v>
      </c>
      <c r="S56" s="594">
        <f>+VLOOKUP(Q56,Impacto!$B$5:$D$9,3,FALSE)</f>
        <v>0.6</v>
      </c>
      <c r="T56" s="594">
        <f>+P56*S56</f>
        <v>0.36</v>
      </c>
      <c r="U56" s="567" t="str">
        <f t="shared" ref="U56:U57" si="35">+IF(T56&lt;=11%,"Bajo",IF(AND(T56&gt;=12%,T56&lt;=39%),"Moderado",IF(AND(T56&gt;=40%,T56&lt;=64%),"Alto",IF(T56&gt;64%,"Extremo",""))))</f>
        <v>Moderado</v>
      </c>
      <c r="V56" s="26">
        <v>1</v>
      </c>
      <c r="W56" s="725" t="s">
        <v>1724</v>
      </c>
      <c r="X56" s="35" t="str">
        <f t="shared" ref="X56" si="36">IF(OR(Y56="Preventivo",Y56="Detectivo"),"Probabilidad",IF(Y56="Correctivo","Impacto",""))</f>
        <v>Probabilidad</v>
      </c>
      <c r="Y56" s="42" t="s">
        <v>755</v>
      </c>
      <c r="Z56" s="42" t="s">
        <v>756</v>
      </c>
      <c r="AA56" s="43" t="str">
        <f t="shared" ref="AA56" si="37">IF(AND(Y56="Preventivo",Z56="Automático"),"50%",IF(AND(Y56="Preventivo",Z56="Manual"),"40%",IF(AND(Y56="Detectivo",Z56="Automático"),"40%",IF(AND(Y56="Detectivo",Z56="Manual"),"30%",IF(AND(Y56="Correctivo",Z56="Automático"),"35%",IF(AND(Y56="Correctivo",Z56="Manual"),"25%",""))))))</f>
        <v>40%</v>
      </c>
      <c r="AB56" s="42" t="s">
        <v>738</v>
      </c>
      <c r="AC56" s="42" t="s">
        <v>757</v>
      </c>
      <c r="AD56" s="42" t="s">
        <v>758</v>
      </c>
      <c r="AE56" s="342" t="s">
        <v>1711</v>
      </c>
      <c r="AF56" s="27">
        <f>IFERROR(IF(X56="Probabilidad",(P56-(P56*AA56)),IF(X56="Impacto",P56,"")),"")</f>
        <v>0.36</v>
      </c>
      <c r="AG56" s="37" t="str">
        <f t="shared" ref="AG56:AG57" si="38">IFERROR(IF(AF56="","",IF(AF56&lt;=0.2,"Muy Baja",IF(AF56&lt;=0.4,"Baja",IF(AF56&lt;=0.6,"Media",IF(AF56&lt;=0.8,"Alta","Muy Alta"))))),"")</f>
        <v>Baja</v>
      </c>
      <c r="AH56" s="27">
        <f>IFERROR(IF(X56="Impacto",(S56-(S56*AA56)),IF(X56="Probabilidad",S56,"")),"")</f>
        <v>0.6</v>
      </c>
      <c r="AI56" s="37" t="str">
        <f t="shared" ref="AI56:AI57" si="39">IFERROR(IF(AH56="","",IF(AH56&lt;=0.2,"Leve",IF(AH56&lt;=0.4,"Menor",IF(AH56&lt;=0.6,"Moderado",IF(AH56&lt;=0.8,"Mayor","Catastrófico"))))),"")</f>
        <v>Moderado</v>
      </c>
      <c r="AJ56" s="36">
        <f t="shared" ref="AJ56:AJ57" si="40">+AF56*AH56</f>
        <v>0.216</v>
      </c>
      <c r="AK56" s="340" t="str">
        <f t="shared" ref="AK56:AK57" si="41">+IF(AJ56&lt;=11%,"Bajo",IF(AND(AJ56&gt;=12%,AJ56&lt;=39%),"Moderado",IF(AND(AJ56&gt;=40%,AJ56&lt;=64%),"Alto",IF(AJ56&gt;64%,"Extremo",""))))</f>
        <v>Moderado</v>
      </c>
      <c r="AL56" s="614" t="str">
        <f>+AK57</f>
        <v>Moderado</v>
      </c>
      <c r="AM56" s="563" t="s">
        <v>759</v>
      </c>
      <c r="AN56" s="26"/>
      <c r="AO56" s="26"/>
      <c r="AP56" s="26"/>
      <c r="AQ56" s="26"/>
      <c r="AR56" s="26"/>
      <c r="AS56" s="26"/>
    </row>
    <row r="57" spans="2:45" s="30" customFormat="1" ht="63.75" x14ac:dyDescent="0.25">
      <c r="B57" s="566"/>
      <c r="C57" s="555"/>
      <c r="D57" s="598"/>
      <c r="E57" s="560"/>
      <c r="F57" s="560"/>
      <c r="G57" s="555"/>
      <c r="H57" s="566"/>
      <c r="I57" s="566"/>
      <c r="J57" s="598"/>
      <c r="K57" s="598"/>
      <c r="L57" s="585"/>
      <c r="M57" s="590"/>
      <c r="N57" s="598"/>
      <c r="O57" s="602"/>
      <c r="P57" s="601"/>
      <c r="Q57" s="566"/>
      <c r="R57" s="602" t="e">
        <f>+VLOOKUP(Q57,Impacto!$B$5:$D$9,2,FALSE)</f>
        <v>#N/A</v>
      </c>
      <c r="S57" s="601" t="e">
        <f>+VLOOKUP(Q57,Impacto!$B$5:$D$9,3,FALSE)</f>
        <v>#N/A</v>
      </c>
      <c r="T57" s="601"/>
      <c r="U57" s="568" t="str">
        <f t="shared" si="35"/>
        <v>Bajo</v>
      </c>
      <c r="V57" s="26">
        <v>2</v>
      </c>
      <c r="W57" s="342" t="s">
        <v>1710</v>
      </c>
      <c r="X57" s="35" t="str">
        <f>IF(OR(Y57="Preventivo",Y57="Detectivo"),"Probabilidad",IF(Y57="Correctivo","Impacto",""))</f>
        <v>Probabilidad</v>
      </c>
      <c r="Y57" s="42" t="s">
        <v>755</v>
      </c>
      <c r="Z57" s="42" t="s">
        <v>756</v>
      </c>
      <c r="AA57" s="43" t="str">
        <f>IF(AND(Y57="Preventivo",Z57="Automático"),"50%",IF(AND(Y57="Preventivo",Z57="Manual"),"40%",IF(AND(Y57="Detectivo",Z57="Automático"),"40%",IF(AND(Y57="Detectivo",Z57="Manual"),"30%",IF(AND(Y57="Correctivo",Z57="Automático"),"35%",IF(AND(Y57="Correctivo",Z57="Manual"),"25%",""))))))</f>
        <v>40%</v>
      </c>
      <c r="AB57" s="42" t="s">
        <v>738</v>
      </c>
      <c r="AC57" s="42" t="s">
        <v>757</v>
      </c>
      <c r="AD57" s="42" t="s">
        <v>758</v>
      </c>
      <c r="AE57" s="342" t="s">
        <v>1712</v>
      </c>
      <c r="AF57" s="27">
        <f>IFERROR(IF(AND(X56="Probabilidad",X57="Probabilidad"),(AF56-(+AF56*AA57)),IF(X57="Probabilidad",(P56-(P56*AA57)),IF(X57="Impacto",P56,""))),"")</f>
        <v>0.216</v>
      </c>
      <c r="AG57" s="37" t="str">
        <f t="shared" si="38"/>
        <v>Baja</v>
      </c>
      <c r="AH57" s="27">
        <f>IFERROR(IF(AND(X56="Impacto",X57="Impacto"),(AH56-(+AH56*AA57)),IF(X57="Impacto",(S56-(+S56*AA57)),IF(X57="Probabilidad",AH56,""))),"")</f>
        <v>0.6</v>
      </c>
      <c r="AI57" s="37" t="str">
        <f t="shared" si="39"/>
        <v>Moderado</v>
      </c>
      <c r="AJ57" s="36">
        <f t="shared" si="40"/>
        <v>0.12959999999999999</v>
      </c>
      <c r="AK57" s="340" t="str">
        <f t="shared" si="41"/>
        <v>Moderado</v>
      </c>
      <c r="AL57" s="615"/>
      <c r="AM57" s="564"/>
      <c r="AN57" s="26"/>
      <c r="AO57" s="26"/>
      <c r="AP57" s="26"/>
      <c r="AQ57" s="26"/>
      <c r="AR57" s="26"/>
      <c r="AS57" s="26"/>
    </row>
    <row r="58" spans="2:45" s="30" customFormat="1" ht="119.25" customHeight="1" x14ac:dyDescent="0.25">
      <c r="B58" s="28" t="s">
        <v>886</v>
      </c>
      <c r="C58" s="28" t="s">
        <v>886</v>
      </c>
      <c r="D58" s="26" t="s">
        <v>903</v>
      </c>
      <c r="E58" s="342" t="s">
        <v>782</v>
      </c>
      <c r="F58" s="38" t="s">
        <v>1369</v>
      </c>
      <c r="G58" s="39" t="s">
        <v>783</v>
      </c>
      <c r="H58" s="28" t="s">
        <v>747</v>
      </c>
      <c r="I58" s="28" t="s">
        <v>748</v>
      </c>
      <c r="J58" s="26" t="s">
        <v>784</v>
      </c>
      <c r="K58" s="26" t="s">
        <v>750</v>
      </c>
      <c r="L58" s="38" t="s">
        <v>785</v>
      </c>
      <c r="M58" s="40" t="s">
        <v>752</v>
      </c>
      <c r="N58" s="26">
        <v>5</v>
      </c>
      <c r="O58" s="368" t="str">
        <f>IF(N58&lt;=0,"",IF(N58&lt;=2,"Muy Baja",IF(N58&lt;=24,"Baja",IF(N58&lt;=500,"Media",IF(N58&lt;=5000,"Alta","Muy Alta")))))</f>
        <v>Baja</v>
      </c>
      <c r="P58" s="27">
        <f>+VLOOKUP(O58,Probabilidad!$B$5:$C$9,2,FALSE)</f>
        <v>0.4</v>
      </c>
      <c r="Q58" s="28" t="s">
        <v>786</v>
      </c>
      <c r="R58" s="368" t="str">
        <f>+VLOOKUP(Q58,Impacto!$B$5:$D$9,2,FALSE)</f>
        <v>Leve</v>
      </c>
      <c r="S58" s="27">
        <f>+VLOOKUP(Q58,Impacto!$B$5:$D$9,3,FALSE)</f>
        <v>0.2</v>
      </c>
      <c r="T58" s="27">
        <f>+P58*S58</f>
        <v>8.0000000000000016E-2</v>
      </c>
      <c r="U58" s="340" t="str">
        <f t="shared" si="0"/>
        <v>Bajo</v>
      </c>
      <c r="V58" s="26">
        <v>1</v>
      </c>
      <c r="W58" s="38" t="s">
        <v>904</v>
      </c>
      <c r="X58" s="35" t="str">
        <f t="shared" si="1"/>
        <v>Probabilidad</v>
      </c>
      <c r="Y58" s="42" t="s">
        <v>755</v>
      </c>
      <c r="Z58" s="42" t="s">
        <v>756</v>
      </c>
      <c r="AA58" s="43" t="str">
        <f t="shared" si="2"/>
        <v>40%</v>
      </c>
      <c r="AB58" s="42" t="s">
        <v>738</v>
      </c>
      <c r="AC58" s="42" t="s">
        <v>757</v>
      </c>
      <c r="AD58" s="42" t="s">
        <v>758</v>
      </c>
      <c r="AE58" s="38" t="s">
        <v>1432</v>
      </c>
      <c r="AF58" s="27">
        <f t="shared" ref="AF58:AF75" si="42">IFERROR(IF(X58="Probabilidad",(P58-(P58*AA58)),IF(X58="Impacto",P58,"")),"")</f>
        <v>0.24</v>
      </c>
      <c r="AG58" s="37" t="str">
        <f t="shared" ref="AG58:AG94" si="43">IFERROR(IF(AF58="","",IF(AF58&lt;=0.2,"Muy Baja",IF(AF58&lt;=0.4,"Baja",IF(AF58&lt;=0.6,"Media",IF(AF58&lt;=0.8,"Alta","Muy Alta"))))),"")</f>
        <v>Baja</v>
      </c>
      <c r="AH58" s="27">
        <f t="shared" ref="AH58:AH75" si="44">IFERROR(IF(X58="Impacto",(S58-(S58*AA58)),IF(X58="Probabilidad",S58,"")),"")</f>
        <v>0.2</v>
      </c>
      <c r="AI58" s="37" t="str">
        <f t="shared" ref="AI58:AI94" si="45">IFERROR(IF(AH58="","",IF(AH58&lt;=0.2,"Leve",IF(AH58&lt;=0.4,"Menor",IF(AH58&lt;=0.6,"Moderado",IF(AH58&lt;=0.8,"Mayor","Catastrófico"))))),"")</f>
        <v>Leve</v>
      </c>
      <c r="AJ58" s="36">
        <f t="shared" ref="AJ58:AJ94" si="46">+AF58*AH58</f>
        <v>4.8000000000000001E-2</v>
      </c>
      <c r="AK58" s="340" t="str">
        <f t="shared" si="4"/>
        <v>Bajo</v>
      </c>
      <c r="AL58" s="37" t="str">
        <f>+AK58</f>
        <v>Bajo</v>
      </c>
      <c r="AM58" s="26" t="s">
        <v>759</v>
      </c>
      <c r="AN58" s="26"/>
      <c r="AO58" s="26"/>
      <c r="AP58" s="26"/>
      <c r="AQ58" s="26"/>
      <c r="AR58" s="26"/>
      <c r="AS58" s="26"/>
    </row>
    <row r="59" spans="2:45" s="30" customFormat="1" ht="66" customHeight="1" x14ac:dyDescent="0.25">
      <c r="B59" s="28" t="s">
        <v>905</v>
      </c>
      <c r="C59" s="28" t="s">
        <v>905</v>
      </c>
      <c r="D59" s="39" t="s">
        <v>906</v>
      </c>
      <c r="E59" s="38" t="s">
        <v>907</v>
      </c>
      <c r="F59" s="38" t="s">
        <v>908</v>
      </c>
      <c r="G59" s="39" t="s">
        <v>909</v>
      </c>
      <c r="H59" s="28" t="s">
        <v>747</v>
      </c>
      <c r="I59" s="28" t="s">
        <v>748</v>
      </c>
      <c r="J59" s="47" t="s">
        <v>749</v>
      </c>
      <c r="K59" s="47" t="s">
        <v>750</v>
      </c>
      <c r="L59" s="46" t="s">
        <v>751</v>
      </c>
      <c r="M59" s="40" t="s">
        <v>752</v>
      </c>
      <c r="N59" s="26">
        <v>24</v>
      </c>
      <c r="O59" s="368" t="str">
        <f t="shared" ref="O59:O75" si="47">IF(N59&lt;=0,"",IF(N59&lt;=2,"Muy Baja",IF(N59&lt;=24,"Baja",IF(N59&lt;=500,"Media",IF(N59&lt;=5000,"Alta","Muy Alta")))))</f>
        <v>Baja</v>
      </c>
      <c r="P59" s="27">
        <f>+VLOOKUP(O59,Probabilidad!$B$5:$C$9,2,FALSE)</f>
        <v>0.4</v>
      </c>
      <c r="Q59" s="28" t="s">
        <v>770</v>
      </c>
      <c r="R59" s="369" t="str">
        <f>+VLOOKUP(Q59,Impacto!$B$5:$D$9,2,FALSE)</f>
        <v>Moderado</v>
      </c>
      <c r="S59" s="27">
        <f>+VLOOKUP(Q59,Impacto!$B$5:$D$9,3,FALSE)</f>
        <v>0.6</v>
      </c>
      <c r="T59" s="27">
        <f t="shared" ref="T59:T75" si="48">+P59*S59</f>
        <v>0.24</v>
      </c>
      <c r="U59" s="340" t="str">
        <f t="shared" si="0"/>
        <v>Moderado</v>
      </c>
      <c r="V59" s="40">
        <v>1</v>
      </c>
      <c r="W59" s="38" t="s">
        <v>799</v>
      </c>
      <c r="X59" s="35" t="str">
        <f t="shared" si="1"/>
        <v>Probabilidad</v>
      </c>
      <c r="Y59" s="42" t="s">
        <v>755</v>
      </c>
      <c r="Z59" s="42" t="s">
        <v>756</v>
      </c>
      <c r="AA59" s="43" t="str">
        <f t="shared" si="2"/>
        <v>40%</v>
      </c>
      <c r="AB59" s="42" t="s">
        <v>738</v>
      </c>
      <c r="AC59" s="42" t="s">
        <v>757</v>
      </c>
      <c r="AD59" s="42" t="s">
        <v>758</v>
      </c>
      <c r="AE59" s="38" t="s">
        <v>1602</v>
      </c>
      <c r="AF59" s="27">
        <f t="shared" si="42"/>
        <v>0.24</v>
      </c>
      <c r="AG59" s="37" t="str">
        <f t="shared" si="43"/>
        <v>Baja</v>
      </c>
      <c r="AH59" s="27">
        <f t="shared" si="44"/>
        <v>0.6</v>
      </c>
      <c r="AI59" s="37" t="str">
        <f t="shared" si="45"/>
        <v>Moderado</v>
      </c>
      <c r="AJ59" s="36">
        <f t="shared" si="46"/>
        <v>0.14399999999999999</v>
      </c>
      <c r="AK59" s="340" t="str">
        <f t="shared" si="4"/>
        <v>Moderado</v>
      </c>
      <c r="AL59" s="384" t="str">
        <f>+AK59</f>
        <v>Moderado</v>
      </c>
      <c r="AM59" s="26" t="s">
        <v>759</v>
      </c>
      <c r="AN59" s="26"/>
      <c r="AO59" s="26"/>
      <c r="AP59" s="26"/>
      <c r="AQ59" s="26"/>
      <c r="AR59" s="26"/>
      <c r="AS59" s="26"/>
    </row>
    <row r="60" spans="2:45" s="30" customFormat="1" ht="74.25" customHeight="1" x14ac:dyDescent="0.25">
      <c r="B60" s="28" t="s">
        <v>905</v>
      </c>
      <c r="C60" s="28" t="s">
        <v>905</v>
      </c>
      <c r="D60" s="39" t="s">
        <v>910</v>
      </c>
      <c r="E60" s="38" t="s">
        <v>911</v>
      </c>
      <c r="F60" s="38" t="s">
        <v>912</v>
      </c>
      <c r="G60" s="39" t="s">
        <v>913</v>
      </c>
      <c r="H60" s="28" t="s">
        <v>747</v>
      </c>
      <c r="I60" s="28" t="s">
        <v>748</v>
      </c>
      <c r="J60" s="47" t="s">
        <v>749</v>
      </c>
      <c r="K60" s="47" t="s">
        <v>750</v>
      </c>
      <c r="L60" s="46" t="s">
        <v>751</v>
      </c>
      <c r="M60" s="40" t="s">
        <v>752</v>
      </c>
      <c r="N60" s="26">
        <v>24</v>
      </c>
      <c r="O60" s="368" t="str">
        <f t="shared" si="47"/>
        <v>Baja</v>
      </c>
      <c r="P60" s="27">
        <f>+VLOOKUP(O60,Probabilidad!$B$5:$C$9,2,FALSE)</f>
        <v>0.4</v>
      </c>
      <c r="Q60" s="28" t="s">
        <v>770</v>
      </c>
      <c r="R60" s="369" t="str">
        <f>+VLOOKUP(Q60,Impacto!$B$5:$D$9,2,FALSE)</f>
        <v>Moderado</v>
      </c>
      <c r="S60" s="27">
        <f>+VLOOKUP(Q60,Impacto!$B$5:$D$9,3,FALSE)</f>
        <v>0.6</v>
      </c>
      <c r="T60" s="27">
        <f t="shared" si="48"/>
        <v>0.24</v>
      </c>
      <c r="U60" s="340" t="str">
        <f t="shared" si="0"/>
        <v>Moderado</v>
      </c>
      <c r="V60" s="40">
        <v>1</v>
      </c>
      <c r="W60" s="38" t="s">
        <v>914</v>
      </c>
      <c r="X60" s="35" t="str">
        <f t="shared" si="1"/>
        <v>Probabilidad</v>
      </c>
      <c r="Y60" s="42" t="s">
        <v>755</v>
      </c>
      <c r="Z60" s="42" t="s">
        <v>756</v>
      </c>
      <c r="AA60" s="43" t="str">
        <f t="shared" si="2"/>
        <v>40%</v>
      </c>
      <c r="AB60" s="42" t="s">
        <v>738</v>
      </c>
      <c r="AC60" s="42" t="s">
        <v>757</v>
      </c>
      <c r="AD60" s="42" t="s">
        <v>758</v>
      </c>
      <c r="AE60" s="38" t="s">
        <v>1442</v>
      </c>
      <c r="AF60" s="27">
        <f t="shared" si="42"/>
        <v>0.24</v>
      </c>
      <c r="AG60" s="37" t="str">
        <f t="shared" si="43"/>
        <v>Baja</v>
      </c>
      <c r="AH60" s="27">
        <f t="shared" si="44"/>
        <v>0.6</v>
      </c>
      <c r="AI60" s="37" t="str">
        <f t="shared" si="45"/>
        <v>Moderado</v>
      </c>
      <c r="AJ60" s="36">
        <f t="shared" si="46"/>
        <v>0.14399999999999999</v>
      </c>
      <c r="AK60" s="340" t="str">
        <f t="shared" si="4"/>
        <v>Moderado</v>
      </c>
      <c r="AL60" s="384" t="str">
        <f t="shared" ref="AL60:AL61" si="49">+AK60</f>
        <v>Moderado</v>
      </c>
      <c r="AM60" s="26" t="s">
        <v>759</v>
      </c>
      <c r="AN60" s="26"/>
      <c r="AO60" s="26"/>
      <c r="AP60" s="26"/>
      <c r="AQ60" s="26"/>
      <c r="AR60" s="26"/>
      <c r="AS60" s="26"/>
    </row>
    <row r="61" spans="2:45" s="30" customFormat="1" ht="99" customHeight="1" x14ac:dyDescent="0.25">
      <c r="B61" s="28" t="s">
        <v>905</v>
      </c>
      <c r="C61" s="28" t="s">
        <v>905</v>
      </c>
      <c r="D61" s="39" t="s">
        <v>1426</v>
      </c>
      <c r="E61" s="38" t="s">
        <v>915</v>
      </c>
      <c r="F61" s="38" t="s">
        <v>908</v>
      </c>
      <c r="G61" s="39" t="s">
        <v>1441</v>
      </c>
      <c r="H61" s="28" t="s">
        <v>747</v>
      </c>
      <c r="I61" s="28" t="s">
        <v>748</v>
      </c>
      <c r="J61" s="47" t="s">
        <v>749</v>
      </c>
      <c r="K61" s="47" t="s">
        <v>750</v>
      </c>
      <c r="L61" s="46" t="s">
        <v>751</v>
      </c>
      <c r="M61" s="40" t="s">
        <v>752</v>
      </c>
      <c r="N61" s="26">
        <v>24</v>
      </c>
      <c r="O61" s="368" t="str">
        <f t="shared" si="47"/>
        <v>Baja</v>
      </c>
      <c r="P61" s="27">
        <f>+VLOOKUP(O61,Probabilidad!$B$5:$C$9,2,FALSE)</f>
        <v>0.4</v>
      </c>
      <c r="Q61" s="28" t="s">
        <v>770</v>
      </c>
      <c r="R61" s="369" t="str">
        <f>+VLOOKUP(Q61,Impacto!$B$5:$D$9,2,FALSE)</f>
        <v>Moderado</v>
      </c>
      <c r="S61" s="27">
        <f>+VLOOKUP(Q61,Impacto!$B$5:$D$9,3,FALSE)</f>
        <v>0.6</v>
      </c>
      <c r="T61" s="27">
        <f t="shared" si="48"/>
        <v>0.24</v>
      </c>
      <c r="U61" s="340" t="str">
        <f t="shared" si="0"/>
        <v>Moderado</v>
      </c>
      <c r="V61" s="40">
        <v>1</v>
      </c>
      <c r="W61" s="38" t="s">
        <v>799</v>
      </c>
      <c r="X61" s="35" t="str">
        <f t="shared" si="1"/>
        <v>Probabilidad</v>
      </c>
      <c r="Y61" s="42" t="s">
        <v>755</v>
      </c>
      <c r="Z61" s="42" t="s">
        <v>756</v>
      </c>
      <c r="AA61" s="43" t="str">
        <f t="shared" si="2"/>
        <v>40%</v>
      </c>
      <c r="AB61" s="42" t="s">
        <v>738</v>
      </c>
      <c r="AC61" s="42" t="s">
        <v>757</v>
      </c>
      <c r="AD61" s="42" t="s">
        <v>758</v>
      </c>
      <c r="AE61" s="38" t="s">
        <v>1602</v>
      </c>
      <c r="AF61" s="27">
        <f t="shared" si="42"/>
        <v>0.24</v>
      </c>
      <c r="AG61" s="37" t="str">
        <f t="shared" si="43"/>
        <v>Baja</v>
      </c>
      <c r="AH61" s="27">
        <f t="shared" si="44"/>
        <v>0.6</v>
      </c>
      <c r="AI61" s="37" t="str">
        <f t="shared" si="45"/>
        <v>Moderado</v>
      </c>
      <c r="AJ61" s="36">
        <f t="shared" si="46"/>
        <v>0.14399999999999999</v>
      </c>
      <c r="AK61" s="340" t="str">
        <f t="shared" si="4"/>
        <v>Moderado</v>
      </c>
      <c r="AL61" s="384" t="str">
        <f t="shared" si="49"/>
        <v>Moderado</v>
      </c>
      <c r="AM61" s="26" t="s">
        <v>759</v>
      </c>
      <c r="AN61" s="26"/>
      <c r="AO61" s="26"/>
      <c r="AP61" s="26"/>
      <c r="AQ61" s="26"/>
      <c r="AR61" s="26"/>
      <c r="AS61" s="26"/>
    </row>
    <row r="62" spans="2:45" s="30" customFormat="1" ht="81.75" customHeight="1" x14ac:dyDescent="0.25">
      <c r="B62" s="28" t="s">
        <v>916</v>
      </c>
      <c r="C62" s="28" t="s">
        <v>916</v>
      </c>
      <c r="D62" s="39" t="s">
        <v>917</v>
      </c>
      <c r="E62" s="38" t="s">
        <v>918</v>
      </c>
      <c r="F62" s="38" t="s">
        <v>1367</v>
      </c>
      <c r="G62" s="39" t="s">
        <v>919</v>
      </c>
      <c r="H62" s="28" t="s">
        <v>747</v>
      </c>
      <c r="I62" s="28" t="s">
        <v>748</v>
      </c>
      <c r="J62" s="47" t="s">
        <v>749</v>
      </c>
      <c r="K62" s="47" t="s">
        <v>750</v>
      </c>
      <c r="L62" s="38" t="s">
        <v>785</v>
      </c>
      <c r="M62" s="40" t="s">
        <v>752</v>
      </c>
      <c r="N62" s="41">
        <f>360*8</f>
        <v>2880</v>
      </c>
      <c r="O62" s="368" t="str">
        <f t="shared" si="47"/>
        <v>Alta</v>
      </c>
      <c r="P62" s="27">
        <f>+VLOOKUP(O62,Probabilidad!$B$5:$C$9,2,FALSE)</f>
        <v>0.8</v>
      </c>
      <c r="Q62" s="28" t="s">
        <v>770</v>
      </c>
      <c r="R62" s="369" t="str">
        <f>+VLOOKUP(Q62,Impacto!$B$5:$D$9,2,FALSE)</f>
        <v>Moderado</v>
      </c>
      <c r="S62" s="27">
        <f>+VLOOKUP(Q62,Impacto!$B$5:$D$9,3,FALSE)</f>
        <v>0.6</v>
      </c>
      <c r="T62" s="27">
        <f t="shared" si="48"/>
        <v>0.48</v>
      </c>
      <c r="U62" s="340" t="str">
        <f t="shared" si="0"/>
        <v>Alto</v>
      </c>
      <c r="V62" s="26">
        <v>1</v>
      </c>
      <c r="W62" s="38" t="s">
        <v>920</v>
      </c>
      <c r="X62" s="35" t="str">
        <f t="shared" si="1"/>
        <v>Probabilidad</v>
      </c>
      <c r="Y62" s="42" t="s">
        <v>755</v>
      </c>
      <c r="Z62" s="42" t="s">
        <v>756</v>
      </c>
      <c r="AA62" s="43" t="str">
        <f t="shared" si="2"/>
        <v>40%</v>
      </c>
      <c r="AB62" s="42" t="s">
        <v>738</v>
      </c>
      <c r="AC62" s="42" t="s">
        <v>757</v>
      </c>
      <c r="AD62" s="42" t="s">
        <v>758</v>
      </c>
      <c r="AE62" s="38" t="s">
        <v>1443</v>
      </c>
      <c r="AF62" s="27">
        <f t="shared" si="42"/>
        <v>0.48</v>
      </c>
      <c r="AG62" s="37" t="str">
        <f t="shared" si="43"/>
        <v>Media</v>
      </c>
      <c r="AH62" s="27">
        <f t="shared" si="44"/>
        <v>0.6</v>
      </c>
      <c r="AI62" s="37" t="str">
        <f t="shared" si="45"/>
        <v>Moderado</v>
      </c>
      <c r="AJ62" s="36">
        <f t="shared" si="46"/>
        <v>0.28799999999999998</v>
      </c>
      <c r="AK62" s="340" t="str">
        <f t="shared" si="4"/>
        <v>Moderado</v>
      </c>
      <c r="AL62" s="37" t="str">
        <f t="shared" ref="AL62:AL74" si="50">+AK62</f>
        <v>Moderado</v>
      </c>
      <c r="AM62" s="26" t="s">
        <v>759</v>
      </c>
      <c r="AN62" s="38" t="s">
        <v>921</v>
      </c>
      <c r="AO62" s="38" t="s">
        <v>922</v>
      </c>
      <c r="AP62" s="336"/>
      <c r="AQ62" s="336"/>
      <c r="AR62" s="38" t="s">
        <v>923</v>
      </c>
      <c r="AS62" s="41" t="s">
        <v>764</v>
      </c>
    </row>
    <row r="63" spans="2:45" s="30" customFormat="1" ht="78" customHeight="1" x14ac:dyDescent="0.25">
      <c r="B63" s="28" t="s">
        <v>916</v>
      </c>
      <c r="C63" s="28" t="s">
        <v>916</v>
      </c>
      <c r="D63" s="39" t="s">
        <v>924</v>
      </c>
      <c r="E63" s="38" t="s">
        <v>925</v>
      </c>
      <c r="F63" s="38" t="s">
        <v>1368</v>
      </c>
      <c r="G63" s="39" t="s">
        <v>1580</v>
      </c>
      <c r="H63" s="28" t="s">
        <v>747</v>
      </c>
      <c r="I63" s="28" t="s">
        <v>748</v>
      </c>
      <c r="J63" s="47" t="s">
        <v>749</v>
      </c>
      <c r="K63" s="47" t="s">
        <v>750</v>
      </c>
      <c r="L63" s="38" t="s">
        <v>785</v>
      </c>
      <c r="M63" s="40" t="s">
        <v>752</v>
      </c>
      <c r="N63" s="41">
        <f>22*4</f>
        <v>88</v>
      </c>
      <c r="O63" s="368" t="str">
        <f t="shared" si="47"/>
        <v>Media</v>
      </c>
      <c r="P63" s="27">
        <f>+VLOOKUP(O63,Probabilidad!$B$5:$C$9,2,FALSE)</f>
        <v>0.6</v>
      </c>
      <c r="Q63" s="28" t="s">
        <v>753</v>
      </c>
      <c r="R63" s="369" t="str">
        <f>+VLOOKUP(Q63,Impacto!$B$5:$D$9,2,FALSE)</f>
        <v>Mayor</v>
      </c>
      <c r="S63" s="27">
        <f>+VLOOKUP(Q63,Impacto!$B$5:$D$9,3,FALSE)</f>
        <v>0.8</v>
      </c>
      <c r="T63" s="27">
        <f t="shared" si="48"/>
        <v>0.48</v>
      </c>
      <c r="U63" s="340" t="str">
        <f t="shared" si="0"/>
        <v>Alto</v>
      </c>
      <c r="V63" s="26">
        <v>1</v>
      </c>
      <c r="W63" s="38" t="s">
        <v>926</v>
      </c>
      <c r="X63" s="35" t="str">
        <f t="shared" si="1"/>
        <v>Probabilidad</v>
      </c>
      <c r="Y63" s="42" t="s">
        <v>755</v>
      </c>
      <c r="Z63" s="42" t="s">
        <v>756</v>
      </c>
      <c r="AA63" s="43" t="str">
        <f t="shared" si="2"/>
        <v>40%</v>
      </c>
      <c r="AB63" s="42" t="s">
        <v>738</v>
      </c>
      <c r="AC63" s="42" t="s">
        <v>757</v>
      </c>
      <c r="AD63" s="42" t="s">
        <v>758</v>
      </c>
      <c r="AE63" s="38" t="s">
        <v>1444</v>
      </c>
      <c r="AF63" s="27">
        <f t="shared" si="42"/>
        <v>0.36</v>
      </c>
      <c r="AG63" s="37" t="str">
        <f t="shared" si="43"/>
        <v>Baja</v>
      </c>
      <c r="AH63" s="27">
        <f t="shared" si="44"/>
        <v>0.8</v>
      </c>
      <c r="AI63" s="37" t="str">
        <f t="shared" si="45"/>
        <v>Mayor</v>
      </c>
      <c r="AJ63" s="36">
        <f t="shared" si="46"/>
        <v>0.28799999999999998</v>
      </c>
      <c r="AK63" s="340" t="str">
        <f t="shared" si="4"/>
        <v>Moderado</v>
      </c>
      <c r="AL63" s="37" t="str">
        <f t="shared" si="50"/>
        <v>Moderado</v>
      </c>
      <c r="AM63" s="26" t="s">
        <v>1276</v>
      </c>
      <c r="AN63" s="38" t="s">
        <v>927</v>
      </c>
      <c r="AO63" s="38" t="s">
        <v>922</v>
      </c>
      <c r="AP63" s="335" t="s">
        <v>928</v>
      </c>
      <c r="AQ63" s="347" t="s">
        <v>762</v>
      </c>
      <c r="AR63" s="38" t="s">
        <v>929</v>
      </c>
      <c r="AS63" s="41" t="s">
        <v>764</v>
      </c>
    </row>
    <row r="64" spans="2:45" s="30" customFormat="1" ht="81" customHeight="1" x14ac:dyDescent="0.25">
      <c r="B64" s="28" t="s">
        <v>916</v>
      </c>
      <c r="C64" s="28" t="s">
        <v>916</v>
      </c>
      <c r="D64" s="39" t="s">
        <v>930</v>
      </c>
      <c r="E64" s="38" t="s">
        <v>782</v>
      </c>
      <c r="F64" s="38" t="s">
        <v>1369</v>
      </c>
      <c r="G64" s="39" t="s">
        <v>783</v>
      </c>
      <c r="H64" s="28" t="s">
        <v>747</v>
      </c>
      <c r="I64" s="28" t="s">
        <v>748</v>
      </c>
      <c r="J64" s="47" t="s">
        <v>749</v>
      </c>
      <c r="K64" s="47" t="s">
        <v>750</v>
      </c>
      <c r="L64" s="38" t="s">
        <v>785</v>
      </c>
      <c r="M64" s="40" t="s">
        <v>752</v>
      </c>
      <c r="N64" s="41">
        <v>5</v>
      </c>
      <c r="O64" s="368" t="str">
        <f t="shared" si="47"/>
        <v>Baja</v>
      </c>
      <c r="P64" s="27">
        <f>+VLOOKUP(O64,Probabilidad!$B$5:$C$9,2,FALSE)</f>
        <v>0.4</v>
      </c>
      <c r="Q64" s="28" t="s">
        <v>786</v>
      </c>
      <c r="R64" s="369" t="str">
        <f>+VLOOKUP(Q64,Impacto!$B$5:$D$9,2,FALSE)</f>
        <v>Leve</v>
      </c>
      <c r="S64" s="27">
        <f>+VLOOKUP(Q64,Impacto!$B$5:$D$9,3,FALSE)</f>
        <v>0.2</v>
      </c>
      <c r="T64" s="27">
        <f t="shared" si="48"/>
        <v>8.0000000000000016E-2</v>
      </c>
      <c r="U64" s="340" t="str">
        <f t="shared" si="0"/>
        <v>Bajo</v>
      </c>
      <c r="V64" s="26">
        <v>1</v>
      </c>
      <c r="W64" s="38" t="s">
        <v>904</v>
      </c>
      <c r="X64" s="35" t="str">
        <f t="shared" si="1"/>
        <v>Probabilidad</v>
      </c>
      <c r="Y64" s="42" t="s">
        <v>755</v>
      </c>
      <c r="Z64" s="42" t="s">
        <v>756</v>
      </c>
      <c r="AA64" s="43" t="str">
        <f t="shared" si="2"/>
        <v>40%</v>
      </c>
      <c r="AB64" s="42" t="s">
        <v>738</v>
      </c>
      <c r="AC64" s="42" t="s">
        <v>757</v>
      </c>
      <c r="AD64" s="42" t="s">
        <v>758</v>
      </c>
      <c r="AE64" s="38" t="s">
        <v>1432</v>
      </c>
      <c r="AF64" s="27">
        <f t="shared" si="42"/>
        <v>0.24</v>
      </c>
      <c r="AG64" s="37" t="str">
        <f t="shared" si="43"/>
        <v>Baja</v>
      </c>
      <c r="AH64" s="27">
        <f t="shared" si="44"/>
        <v>0.2</v>
      </c>
      <c r="AI64" s="37" t="str">
        <f t="shared" si="45"/>
        <v>Leve</v>
      </c>
      <c r="AJ64" s="36">
        <f t="shared" si="46"/>
        <v>4.8000000000000001E-2</v>
      </c>
      <c r="AK64" s="340" t="str">
        <f t="shared" si="4"/>
        <v>Bajo</v>
      </c>
      <c r="AL64" s="37" t="str">
        <f t="shared" si="50"/>
        <v>Bajo</v>
      </c>
      <c r="AM64" s="26" t="s">
        <v>759</v>
      </c>
      <c r="AN64" s="26"/>
      <c r="AO64" s="26"/>
      <c r="AP64" s="26"/>
      <c r="AQ64" s="26"/>
      <c r="AR64" s="26"/>
      <c r="AS64" s="26"/>
    </row>
    <row r="65" spans="2:45" s="30" customFormat="1" ht="70.5" customHeight="1" x14ac:dyDescent="0.25">
      <c r="B65" s="28" t="s">
        <v>931</v>
      </c>
      <c r="C65" s="28" t="s">
        <v>931</v>
      </c>
      <c r="D65" s="40" t="s">
        <v>932</v>
      </c>
      <c r="E65" s="38" t="s">
        <v>933</v>
      </c>
      <c r="F65" s="38" t="s">
        <v>934</v>
      </c>
      <c r="G65" s="39" t="s">
        <v>935</v>
      </c>
      <c r="H65" s="28" t="s">
        <v>747</v>
      </c>
      <c r="I65" s="28" t="s">
        <v>748</v>
      </c>
      <c r="J65" s="47" t="s">
        <v>749</v>
      </c>
      <c r="K65" s="47" t="s">
        <v>750</v>
      </c>
      <c r="L65" s="38" t="s">
        <v>751</v>
      </c>
      <c r="M65" s="40" t="s">
        <v>752</v>
      </c>
      <c r="N65" s="26">
        <v>48</v>
      </c>
      <c r="O65" s="368" t="str">
        <f t="shared" si="47"/>
        <v>Media</v>
      </c>
      <c r="P65" s="27">
        <f>+VLOOKUP(O65,Probabilidad!$B$5:$C$9,2,FALSE)</f>
        <v>0.6</v>
      </c>
      <c r="Q65" s="28" t="s">
        <v>770</v>
      </c>
      <c r="R65" s="369" t="str">
        <f>+VLOOKUP(Q65,Impacto!$B$5:$D$9,2,FALSE)</f>
        <v>Moderado</v>
      </c>
      <c r="S65" s="27">
        <f>+VLOOKUP(Q65,Impacto!$B$5:$D$9,3,FALSE)</f>
        <v>0.6</v>
      </c>
      <c r="T65" s="27">
        <f t="shared" si="48"/>
        <v>0.36</v>
      </c>
      <c r="U65" s="340" t="str">
        <f t="shared" si="0"/>
        <v>Moderado</v>
      </c>
      <c r="V65" s="26">
        <v>1</v>
      </c>
      <c r="W65" s="38" t="s">
        <v>936</v>
      </c>
      <c r="X65" s="35" t="str">
        <f t="shared" si="1"/>
        <v>Probabilidad</v>
      </c>
      <c r="Y65" s="42" t="s">
        <v>755</v>
      </c>
      <c r="Z65" s="42" t="s">
        <v>756</v>
      </c>
      <c r="AA65" s="43" t="str">
        <f t="shared" si="2"/>
        <v>40%</v>
      </c>
      <c r="AB65" s="42" t="s">
        <v>738</v>
      </c>
      <c r="AC65" s="42" t="s">
        <v>757</v>
      </c>
      <c r="AD65" s="42" t="s">
        <v>758</v>
      </c>
      <c r="AE65" s="39" t="s">
        <v>1433</v>
      </c>
      <c r="AF65" s="27">
        <f t="shared" si="42"/>
        <v>0.36</v>
      </c>
      <c r="AG65" s="37" t="str">
        <f t="shared" si="43"/>
        <v>Baja</v>
      </c>
      <c r="AH65" s="27">
        <f t="shared" si="44"/>
        <v>0.6</v>
      </c>
      <c r="AI65" s="37" t="str">
        <f t="shared" si="45"/>
        <v>Moderado</v>
      </c>
      <c r="AJ65" s="36">
        <f t="shared" si="46"/>
        <v>0.216</v>
      </c>
      <c r="AK65" s="340" t="str">
        <f t="shared" si="4"/>
        <v>Moderado</v>
      </c>
      <c r="AL65" s="37" t="str">
        <f t="shared" si="50"/>
        <v>Moderado</v>
      </c>
      <c r="AM65" s="26" t="s">
        <v>1276</v>
      </c>
      <c r="AN65" s="26"/>
      <c r="AO65" s="26"/>
      <c r="AP65" s="26"/>
      <c r="AQ65" s="26"/>
      <c r="AR65" s="26"/>
      <c r="AS65" s="26"/>
    </row>
    <row r="66" spans="2:45" s="30" customFormat="1" ht="73.5" customHeight="1" x14ac:dyDescent="0.25">
      <c r="B66" s="28" t="s">
        <v>931</v>
      </c>
      <c r="C66" s="28" t="s">
        <v>931</v>
      </c>
      <c r="D66" s="40" t="s">
        <v>937</v>
      </c>
      <c r="E66" s="38" t="s">
        <v>938</v>
      </c>
      <c r="F66" s="38" t="s">
        <v>939</v>
      </c>
      <c r="G66" s="39" t="s">
        <v>940</v>
      </c>
      <c r="H66" s="28" t="s">
        <v>747</v>
      </c>
      <c r="I66" s="28" t="s">
        <v>748</v>
      </c>
      <c r="J66" s="47" t="s">
        <v>749</v>
      </c>
      <c r="K66" s="47" t="s">
        <v>750</v>
      </c>
      <c r="L66" s="38" t="s">
        <v>751</v>
      </c>
      <c r="M66" s="40" t="s">
        <v>752</v>
      </c>
      <c r="N66" s="26">
        <v>52</v>
      </c>
      <c r="O66" s="368" t="str">
        <f t="shared" si="47"/>
        <v>Media</v>
      </c>
      <c r="P66" s="27">
        <f>+VLOOKUP(O66,Probabilidad!$B$5:$C$9,2,FALSE)</f>
        <v>0.6</v>
      </c>
      <c r="Q66" s="28" t="s">
        <v>770</v>
      </c>
      <c r="R66" s="369" t="str">
        <f>+VLOOKUP(Q66,Impacto!$B$5:$D$9,2,FALSE)</f>
        <v>Moderado</v>
      </c>
      <c r="S66" s="27">
        <f>+VLOOKUP(Q66,Impacto!$B$5:$D$9,3,FALSE)</f>
        <v>0.6</v>
      </c>
      <c r="T66" s="27">
        <f t="shared" si="48"/>
        <v>0.36</v>
      </c>
      <c r="U66" s="340" t="str">
        <f t="shared" si="0"/>
        <v>Moderado</v>
      </c>
      <c r="V66" s="26">
        <v>1</v>
      </c>
      <c r="W66" s="39" t="s">
        <v>941</v>
      </c>
      <c r="X66" s="35" t="str">
        <f t="shared" si="1"/>
        <v>Probabilidad</v>
      </c>
      <c r="Y66" s="42" t="s">
        <v>755</v>
      </c>
      <c r="Z66" s="42" t="s">
        <v>756</v>
      </c>
      <c r="AA66" s="43" t="str">
        <f t="shared" si="2"/>
        <v>40%</v>
      </c>
      <c r="AB66" s="42" t="s">
        <v>738</v>
      </c>
      <c r="AC66" s="42" t="s">
        <v>757</v>
      </c>
      <c r="AD66" s="42" t="s">
        <v>758</v>
      </c>
      <c r="AE66" s="38" t="s">
        <v>1445</v>
      </c>
      <c r="AF66" s="27">
        <f t="shared" si="42"/>
        <v>0.36</v>
      </c>
      <c r="AG66" s="37" t="str">
        <f t="shared" si="43"/>
        <v>Baja</v>
      </c>
      <c r="AH66" s="27">
        <f t="shared" si="44"/>
        <v>0.6</v>
      </c>
      <c r="AI66" s="37" t="str">
        <f t="shared" si="45"/>
        <v>Moderado</v>
      </c>
      <c r="AJ66" s="36">
        <f t="shared" si="46"/>
        <v>0.216</v>
      </c>
      <c r="AK66" s="340" t="str">
        <f t="shared" si="4"/>
        <v>Moderado</v>
      </c>
      <c r="AL66" s="37" t="str">
        <f t="shared" si="50"/>
        <v>Moderado</v>
      </c>
      <c r="AM66" s="26" t="s">
        <v>1276</v>
      </c>
      <c r="AN66" s="26"/>
      <c r="AO66" s="26"/>
      <c r="AP66" s="26"/>
      <c r="AQ66" s="26"/>
      <c r="AR66" s="26"/>
      <c r="AS66" s="26"/>
    </row>
    <row r="67" spans="2:45" s="30" customFormat="1" ht="58.5" customHeight="1" x14ac:dyDescent="0.25">
      <c r="B67" s="28" t="s">
        <v>942</v>
      </c>
      <c r="C67" s="28" t="s">
        <v>942</v>
      </c>
      <c r="D67" s="38" t="s">
        <v>944</v>
      </c>
      <c r="E67" s="38" t="s">
        <v>828</v>
      </c>
      <c r="F67" s="734" t="s">
        <v>1728</v>
      </c>
      <c r="G67" s="39" t="s">
        <v>943</v>
      </c>
      <c r="H67" s="28" t="s">
        <v>747</v>
      </c>
      <c r="I67" s="28" t="s">
        <v>748</v>
      </c>
      <c r="J67" s="47" t="s">
        <v>749</v>
      </c>
      <c r="K67" s="47" t="s">
        <v>750</v>
      </c>
      <c r="L67" s="38" t="s">
        <v>751</v>
      </c>
      <c r="M67" s="40" t="s">
        <v>752</v>
      </c>
      <c r="N67" s="26">
        <v>216</v>
      </c>
      <c r="O67" s="368" t="str">
        <f t="shared" si="47"/>
        <v>Media</v>
      </c>
      <c r="P67" s="27">
        <f>+VLOOKUP(O67,Probabilidad!$B$5:$C$9,2,FALSE)</f>
        <v>0.6</v>
      </c>
      <c r="Q67" s="28" t="s">
        <v>770</v>
      </c>
      <c r="R67" s="369" t="str">
        <f>+VLOOKUP(Q67,Impacto!$B$5:$D$9,2,FALSE)</f>
        <v>Moderado</v>
      </c>
      <c r="S67" s="27">
        <f>+VLOOKUP(Q67,Impacto!$B$5:$D$9,3,FALSE)</f>
        <v>0.6</v>
      </c>
      <c r="T67" s="27">
        <f t="shared" si="48"/>
        <v>0.36</v>
      </c>
      <c r="U67" s="340" t="str">
        <f t="shared" si="0"/>
        <v>Moderado</v>
      </c>
      <c r="V67" s="26">
        <v>1</v>
      </c>
      <c r="W67" s="38" t="s">
        <v>936</v>
      </c>
      <c r="X67" s="35" t="str">
        <f t="shared" si="1"/>
        <v>Probabilidad</v>
      </c>
      <c r="Y67" s="42" t="s">
        <v>755</v>
      </c>
      <c r="Z67" s="42" t="s">
        <v>756</v>
      </c>
      <c r="AA67" s="43" t="str">
        <f t="shared" si="2"/>
        <v>40%</v>
      </c>
      <c r="AB67" s="42" t="s">
        <v>738</v>
      </c>
      <c r="AC67" s="42" t="s">
        <v>757</v>
      </c>
      <c r="AD67" s="42" t="s">
        <v>758</v>
      </c>
      <c r="AE67" s="39" t="s">
        <v>1433</v>
      </c>
      <c r="AF67" s="27">
        <f t="shared" si="42"/>
        <v>0.36</v>
      </c>
      <c r="AG67" s="37" t="str">
        <f t="shared" si="43"/>
        <v>Baja</v>
      </c>
      <c r="AH67" s="27">
        <f t="shared" si="44"/>
        <v>0.6</v>
      </c>
      <c r="AI67" s="37" t="str">
        <f t="shared" si="45"/>
        <v>Moderado</v>
      </c>
      <c r="AJ67" s="36">
        <f t="shared" si="46"/>
        <v>0.216</v>
      </c>
      <c r="AK67" s="340" t="str">
        <f t="shared" si="4"/>
        <v>Moderado</v>
      </c>
      <c r="AL67" s="37" t="str">
        <f t="shared" si="50"/>
        <v>Moderado</v>
      </c>
      <c r="AM67" s="26" t="s">
        <v>1276</v>
      </c>
      <c r="AN67" s="26"/>
      <c r="AO67" s="26"/>
      <c r="AP67" s="26"/>
      <c r="AQ67" s="26"/>
      <c r="AR67" s="26"/>
      <c r="AS67" s="26"/>
    </row>
    <row r="68" spans="2:45" s="30" customFormat="1" ht="58.5" customHeight="1" x14ac:dyDescent="0.25">
      <c r="B68" s="28" t="s">
        <v>942</v>
      </c>
      <c r="C68" s="28" t="s">
        <v>942</v>
      </c>
      <c r="D68" s="39" t="s">
        <v>1427</v>
      </c>
      <c r="E68" s="38" t="s">
        <v>945</v>
      </c>
      <c r="F68" s="38" t="s">
        <v>939</v>
      </c>
      <c r="G68" s="39" t="s">
        <v>940</v>
      </c>
      <c r="H68" s="28" t="s">
        <v>747</v>
      </c>
      <c r="I68" s="28" t="s">
        <v>748</v>
      </c>
      <c r="J68" s="47" t="s">
        <v>749</v>
      </c>
      <c r="K68" s="47" t="s">
        <v>750</v>
      </c>
      <c r="L68" s="38" t="s">
        <v>751</v>
      </c>
      <c r="M68" s="40" t="s">
        <v>752</v>
      </c>
      <c r="N68" s="26">
        <v>39</v>
      </c>
      <c r="O68" s="368" t="str">
        <f t="shared" si="47"/>
        <v>Media</v>
      </c>
      <c r="P68" s="27">
        <f>+VLOOKUP(O68,Probabilidad!$B$5:$C$9,2,FALSE)</f>
        <v>0.6</v>
      </c>
      <c r="Q68" s="28" t="s">
        <v>753</v>
      </c>
      <c r="R68" s="369" t="str">
        <f>+VLOOKUP(Q68,Impacto!$B$5:$D$9,2,FALSE)</f>
        <v>Mayor</v>
      </c>
      <c r="S68" s="27">
        <f>+VLOOKUP(Q68,Impacto!$B$5:$D$9,3,FALSE)</f>
        <v>0.8</v>
      </c>
      <c r="T68" s="27">
        <f t="shared" si="48"/>
        <v>0.48</v>
      </c>
      <c r="U68" s="340" t="str">
        <f t="shared" si="0"/>
        <v>Alto</v>
      </c>
      <c r="V68" s="26">
        <v>1</v>
      </c>
      <c r="W68" s="38" t="s">
        <v>936</v>
      </c>
      <c r="X68" s="35" t="str">
        <f t="shared" si="1"/>
        <v>Probabilidad</v>
      </c>
      <c r="Y68" s="42" t="s">
        <v>755</v>
      </c>
      <c r="Z68" s="42" t="s">
        <v>756</v>
      </c>
      <c r="AA68" s="43" t="str">
        <f t="shared" si="2"/>
        <v>40%</v>
      </c>
      <c r="AB68" s="42" t="s">
        <v>738</v>
      </c>
      <c r="AC68" s="42" t="s">
        <v>757</v>
      </c>
      <c r="AD68" s="42" t="s">
        <v>758</v>
      </c>
      <c r="AE68" s="38" t="s">
        <v>1445</v>
      </c>
      <c r="AF68" s="27">
        <f t="shared" si="42"/>
        <v>0.36</v>
      </c>
      <c r="AG68" s="37" t="str">
        <f t="shared" si="43"/>
        <v>Baja</v>
      </c>
      <c r="AH68" s="27">
        <f t="shared" si="44"/>
        <v>0.8</v>
      </c>
      <c r="AI68" s="37" t="str">
        <f t="shared" si="45"/>
        <v>Mayor</v>
      </c>
      <c r="AJ68" s="36">
        <f t="shared" si="46"/>
        <v>0.28799999999999998</v>
      </c>
      <c r="AK68" s="340" t="str">
        <f t="shared" si="4"/>
        <v>Moderado</v>
      </c>
      <c r="AL68" s="37" t="str">
        <f t="shared" si="50"/>
        <v>Moderado</v>
      </c>
      <c r="AM68" s="26" t="s">
        <v>1276</v>
      </c>
      <c r="AN68" s="26"/>
      <c r="AO68" s="26"/>
      <c r="AP68" s="26"/>
      <c r="AQ68" s="26"/>
      <c r="AR68" s="26"/>
      <c r="AS68" s="26"/>
    </row>
    <row r="69" spans="2:45" s="30" customFormat="1" ht="58.5" customHeight="1" x14ac:dyDescent="0.25">
      <c r="B69" s="28" t="s">
        <v>946</v>
      </c>
      <c r="C69" s="28" t="s">
        <v>946</v>
      </c>
      <c r="D69" s="38" t="s">
        <v>794</v>
      </c>
      <c r="E69" s="38" t="s">
        <v>933</v>
      </c>
      <c r="F69" s="38" t="s">
        <v>934</v>
      </c>
      <c r="G69" s="39" t="s">
        <v>943</v>
      </c>
      <c r="H69" s="28" t="s">
        <v>747</v>
      </c>
      <c r="I69" s="28" t="s">
        <v>748</v>
      </c>
      <c r="J69" s="47" t="s">
        <v>749</v>
      </c>
      <c r="K69" s="47" t="s">
        <v>750</v>
      </c>
      <c r="L69" s="38" t="s">
        <v>751</v>
      </c>
      <c r="M69" s="40" t="s">
        <v>752</v>
      </c>
      <c r="N69" s="26">
        <v>114</v>
      </c>
      <c r="O69" s="368" t="str">
        <f t="shared" si="47"/>
        <v>Media</v>
      </c>
      <c r="P69" s="27">
        <f>+VLOOKUP(O69,Probabilidad!$B$5:$C$9,2,FALSE)</f>
        <v>0.6</v>
      </c>
      <c r="Q69" s="28" t="s">
        <v>753</v>
      </c>
      <c r="R69" s="369" t="str">
        <f>+VLOOKUP(Q69,Impacto!$B$5:$D$9,2,FALSE)</f>
        <v>Mayor</v>
      </c>
      <c r="S69" s="27">
        <f>+VLOOKUP(Q69,Impacto!$B$5:$D$9,3,FALSE)</f>
        <v>0.8</v>
      </c>
      <c r="T69" s="27">
        <f t="shared" si="48"/>
        <v>0.48</v>
      </c>
      <c r="U69" s="340" t="str">
        <f t="shared" si="0"/>
        <v>Alto</v>
      </c>
      <c r="V69" s="26">
        <v>1</v>
      </c>
      <c r="W69" s="38" t="s">
        <v>936</v>
      </c>
      <c r="X69" s="35" t="str">
        <f t="shared" si="1"/>
        <v>Probabilidad</v>
      </c>
      <c r="Y69" s="42" t="s">
        <v>755</v>
      </c>
      <c r="Z69" s="42" t="s">
        <v>756</v>
      </c>
      <c r="AA69" s="43" t="str">
        <f t="shared" si="2"/>
        <v>40%</v>
      </c>
      <c r="AB69" s="42" t="s">
        <v>738</v>
      </c>
      <c r="AC69" s="42" t="s">
        <v>757</v>
      </c>
      <c r="AD69" s="42" t="s">
        <v>758</v>
      </c>
      <c r="AE69" s="39" t="s">
        <v>1433</v>
      </c>
      <c r="AF69" s="27">
        <f t="shared" si="42"/>
        <v>0.36</v>
      </c>
      <c r="AG69" s="37" t="str">
        <f t="shared" si="43"/>
        <v>Baja</v>
      </c>
      <c r="AH69" s="27">
        <f t="shared" si="44"/>
        <v>0.8</v>
      </c>
      <c r="AI69" s="37" t="str">
        <f t="shared" si="45"/>
        <v>Mayor</v>
      </c>
      <c r="AJ69" s="36">
        <f t="shared" si="46"/>
        <v>0.28799999999999998</v>
      </c>
      <c r="AK69" s="340" t="str">
        <f t="shared" si="4"/>
        <v>Moderado</v>
      </c>
      <c r="AL69" s="37" t="str">
        <f t="shared" si="50"/>
        <v>Moderado</v>
      </c>
      <c r="AM69" s="26" t="s">
        <v>1276</v>
      </c>
      <c r="AN69" s="26"/>
      <c r="AO69" s="26"/>
      <c r="AP69" s="26"/>
      <c r="AQ69" s="26"/>
      <c r="AR69" s="26"/>
      <c r="AS69" s="26"/>
    </row>
    <row r="70" spans="2:45" s="30" customFormat="1" ht="82.5" customHeight="1" x14ac:dyDescent="0.25">
      <c r="B70" s="28" t="s">
        <v>946</v>
      </c>
      <c r="C70" s="28" t="s">
        <v>946</v>
      </c>
      <c r="D70" s="38" t="s">
        <v>800</v>
      </c>
      <c r="E70" s="38" t="s">
        <v>947</v>
      </c>
      <c r="F70" s="38" t="s">
        <v>939</v>
      </c>
      <c r="G70" s="39" t="s">
        <v>940</v>
      </c>
      <c r="H70" s="28" t="s">
        <v>747</v>
      </c>
      <c r="I70" s="28" t="s">
        <v>748</v>
      </c>
      <c r="J70" s="47" t="s">
        <v>749</v>
      </c>
      <c r="K70" s="47" t="s">
        <v>750</v>
      </c>
      <c r="L70" s="38" t="s">
        <v>751</v>
      </c>
      <c r="M70" s="40" t="s">
        <v>752</v>
      </c>
      <c r="N70" s="26">
        <v>40</v>
      </c>
      <c r="O70" s="368" t="str">
        <f t="shared" si="47"/>
        <v>Media</v>
      </c>
      <c r="P70" s="27">
        <f>+VLOOKUP(O70,Probabilidad!$B$5:$C$9,2,FALSE)</f>
        <v>0.6</v>
      </c>
      <c r="Q70" s="28" t="s">
        <v>753</v>
      </c>
      <c r="R70" s="369" t="str">
        <f>+VLOOKUP(Q70,Impacto!$B$5:$D$9,2,FALSE)</f>
        <v>Mayor</v>
      </c>
      <c r="S70" s="27">
        <f>+VLOOKUP(Q70,Impacto!$B$5:$D$9,3,FALSE)</f>
        <v>0.8</v>
      </c>
      <c r="T70" s="27">
        <f t="shared" si="48"/>
        <v>0.48</v>
      </c>
      <c r="U70" s="340" t="str">
        <f t="shared" si="0"/>
        <v>Alto</v>
      </c>
      <c r="V70" s="26">
        <v>1</v>
      </c>
      <c r="W70" s="349" t="s">
        <v>941</v>
      </c>
      <c r="X70" s="35" t="str">
        <f t="shared" si="1"/>
        <v>Probabilidad</v>
      </c>
      <c r="Y70" s="42" t="s">
        <v>755</v>
      </c>
      <c r="Z70" s="42" t="s">
        <v>756</v>
      </c>
      <c r="AA70" s="43" t="str">
        <f t="shared" si="2"/>
        <v>40%</v>
      </c>
      <c r="AB70" s="42" t="s">
        <v>738</v>
      </c>
      <c r="AC70" s="42" t="s">
        <v>757</v>
      </c>
      <c r="AD70" s="42" t="s">
        <v>758</v>
      </c>
      <c r="AE70" s="38" t="s">
        <v>1445</v>
      </c>
      <c r="AF70" s="27">
        <f t="shared" si="42"/>
        <v>0.36</v>
      </c>
      <c r="AG70" s="37" t="str">
        <f t="shared" si="43"/>
        <v>Baja</v>
      </c>
      <c r="AH70" s="27">
        <f t="shared" si="44"/>
        <v>0.8</v>
      </c>
      <c r="AI70" s="37" t="str">
        <f t="shared" si="45"/>
        <v>Mayor</v>
      </c>
      <c r="AJ70" s="36">
        <f t="shared" si="46"/>
        <v>0.28799999999999998</v>
      </c>
      <c r="AK70" s="340" t="str">
        <f t="shared" si="4"/>
        <v>Moderado</v>
      </c>
      <c r="AL70" s="37" t="str">
        <f t="shared" si="50"/>
        <v>Moderado</v>
      </c>
      <c r="AM70" s="26" t="s">
        <v>1276</v>
      </c>
      <c r="AN70" s="26"/>
      <c r="AO70" s="26"/>
      <c r="AP70" s="26"/>
      <c r="AQ70" s="26"/>
      <c r="AR70" s="26"/>
      <c r="AS70" s="26"/>
    </row>
    <row r="71" spans="2:45" s="30" customFormat="1" ht="77.25" customHeight="1" x14ac:dyDescent="0.25">
      <c r="B71" s="28" t="s">
        <v>948</v>
      </c>
      <c r="C71" s="28" t="s">
        <v>948</v>
      </c>
      <c r="D71" s="38" t="s">
        <v>949</v>
      </c>
      <c r="E71" s="38" t="s">
        <v>933</v>
      </c>
      <c r="F71" s="38" t="s">
        <v>934</v>
      </c>
      <c r="G71" s="39" t="s">
        <v>943</v>
      </c>
      <c r="H71" s="28" t="s">
        <v>747</v>
      </c>
      <c r="I71" s="28" t="s">
        <v>748</v>
      </c>
      <c r="J71" s="47" t="s">
        <v>749</v>
      </c>
      <c r="K71" s="47" t="s">
        <v>750</v>
      </c>
      <c r="L71" s="38" t="s">
        <v>751</v>
      </c>
      <c r="M71" s="40" t="s">
        <v>752</v>
      </c>
      <c r="N71" s="26">
        <v>452</v>
      </c>
      <c r="O71" s="368" t="str">
        <f t="shared" si="47"/>
        <v>Media</v>
      </c>
      <c r="P71" s="27">
        <f>+VLOOKUP(O71,Probabilidad!$B$5:$C$9,2,FALSE)</f>
        <v>0.6</v>
      </c>
      <c r="Q71" s="28" t="s">
        <v>770</v>
      </c>
      <c r="R71" s="369" t="str">
        <f>+VLOOKUP(Q71,Impacto!$B$5:$D$9,2,FALSE)</f>
        <v>Moderado</v>
      </c>
      <c r="S71" s="27">
        <f>+VLOOKUP(Q71,Impacto!$B$5:$D$9,3,FALSE)</f>
        <v>0.6</v>
      </c>
      <c r="T71" s="27">
        <f t="shared" si="48"/>
        <v>0.36</v>
      </c>
      <c r="U71" s="340" t="str">
        <f t="shared" si="0"/>
        <v>Moderado</v>
      </c>
      <c r="V71" s="26">
        <v>1</v>
      </c>
      <c r="W71" s="38" t="s">
        <v>936</v>
      </c>
      <c r="X71" s="35" t="str">
        <f t="shared" si="1"/>
        <v>Probabilidad</v>
      </c>
      <c r="Y71" s="42" t="s">
        <v>755</v>
      </c>
      <c r="Z71" s="42" t="s">
        <v>756</v>
      </c>
      <c r="AA71" s="43" t="str">
        <f t="shared" si="2"/>
        <v>40%</v>
      </c>
      <c r="AB71" s="42" t="s">
        <v>738</v>
      </c>
      <c r="AC71" s="42" t="s">
        <v>757</v>
      </c>
      <c r="AD71" s="42" t="s">
        <v>758</v>
      </c>
      <c r="AE71" s="39" t="s">
        <v>1433</v>
      </c>
      <c r="AF71" s="27">
        <f t="shared" si="42"/>
        <v>0.36</v>
      </c>
      <c r="AG71" s="37" t="str">
        <f t="shared" si="43"/>
        <v>Baja</v>
      </c>
      <c r="AH71" s="27">
        <f t="shared" si="44"/>
        <v>0.6</v>
      </c>
      <c r="AI71" s="37" t="str">
        <f t="shared" si="45"/>
        <v>Moderado</v>
      </c>
      <c r="AJ71" s="36">
        <f t="shared" si="46"/>
        <v>0.216</v>
      </c>
      <c r="AK71" s="340" t="str">
        <f t="shared" si="4"/>
        <v>Moderado</v>
      </c>
      <c r="AL71" s="37" t="str">
        <f t="shared" si="50"/>
        <v>Moderado</v>
      </c>
      <c r="AM71" s="26" t="s">
        <v>1276</v>
      </c>
      <c r="AN71" s="26"/>
      <c r="AO71" s="26"/>
      <c r="AP71" s="26"/>
      <c r="AQ71" s="26"/>
      <c r="AR71" s="26"/>
      <c r="AS71" s="26"/>
    </row>
    <row r="72" spans="2:45" s="30" customFormat="1" ht="83.25" customHeight="1" x14ac:dyDescent="0.25">
      <c r="B72" s="28" t="s">
        <v>948</v>
      </c>
      <c r="C72" s="28" t="s">
        <v>948</v>
      </c>
      <c r="D72" s="38" t="s">
        <v>950</v>
      </c>
      <c r="E72" s="38" t="s">
        <v>947</v>
      </c>
      <c r="F72" s="38" t="s">
        <v>939</v>
      </c>
      <c r="G72" s="39" t="s">
        <v>951</v>
      </c>
      <c r="H72" s="28" t="s">
        <v>747</v>
      </c>
      <c r="I72" s="28" t="s">
        <v>748</v>
      </c>
      <c r="J72" s="47" t="s">
        <v>749</v>
      </c>
      <c r="K72" s="47" t="s">
        <v>750</v>
      </c>
      <c r="L72" s="38" t="s">
        <v>751</v>
      </c>
      <c r="M72" s="40" t="s">
        <v>752</v>
      </c>
      <c r="N72" s="26">
        <v>57</v>
      </c>
      <c r="O72" s="368" t="str">
        <f t="shared" si="47"/>
        <v>Media</v>
      </c>
      <c r="P72" s="27">
        <f>+VLOOKUP(O72,Probabilidad!$B$5:$C$9,2,FALSE)</f>
        <v>0.6</v>
      </c>
      <c r="Q72" s="28" t="s">
        <v>770</v>
      </c>
      <c r="R72" s="369" t="str">
        <f>+VLOOKUP(Q72,Impacto!$B$5:$D$9,2,FALSE)</f>
        <v>Moderado</v>
      </c>
      <c r="S72" s="27">
        <f>+VLOOKUP(Q72,Impacto!$B$5:$D$9,3,FALSE)</f>
        <v>0.6</v>
      </c>
      <c r="T72" s="27">
        <f t="shared" si="48"/>
        <v>0.36</v>
      </c>
      <c r="U72" s="340" t="str">
        <f t="shared" si="0"/>
        <v>Moderado</v>
      </c>
      <c r="V72" s="26">
        <v>1</v>
      </c>
      <c r="W72" s="349" t="s">
        <v>941</v>
      </c>
      <c r="X72" s="35" t="str">
        <f t="shared" si="1"/>
        <v>Probabilidad</v>
      </c>
      <c r="Y72" s="42" t="s">
        <v>755</v>
      </c>
      <c r="Z72" s="42" t="s">
        <v>756</v>
      </c>
      <c r="AA72" s="43" t="str">
        <f t="shared" si="2"/>
        <v>40%</v>
      </c>
      <c r="AB72" s="42" t="s">
        <v>738</v>
      </c>
      <c r="AC72" s="42" t="s">
        <v>757</v>
      </c>
      <c r="AD72" s="42" t="s">
        <v>758</v>
      </c>
      <c r="AE72" s="38" t="s">
        <v>1445</v>
      </c>
      <c r="AF72" s="27">
        <f t="shared" si="42"/>
        <v>0.36</v>
      </c>
      <c r="AG72" s="37" t="str">
        <f t="shared" si="43"/>
        <v>Baja</v>
      </c>
      <c r="AH72" s="27">
        <f t="shared" si="44"/>
        <v>0.6</v>
      </c>
      <c r="AI72" s="37" t="str">
        <f t="shared" si="45"/>
        <v>Moderado</v>
      </c>
      <c r="AJ72" s="36">
        <f t="shared" si="46"/>
        <v>0.216</v>
      </c>
      <c r="AK72" s="340" t="str">
        <f t="shared" si="4"/>
        <v>Moderado</v>
      </c>
      <c r="AL72" s="37" t="str">
        <f t="shared" si="50"/>
        <v>Moderado</v>
      </c>
      <c r="AM72" s="26" t="s">
        <v>1276</v>
      </c>
      <c r="AN72" s="26"/>
      <c r="AO72" s="26"/>
      <c r="AP72" s="26"/>
      <c r="AQ72" s="26"/>
      <c r="AR72" s="26"/>
      <c r="AS72" s="26"/>
    </row>
    <row r="73" spans="2:45" s="30" customFormat="1" ht="84" customHeight="1" x14ac:dyDescent="0.25">
      <c r="B73" s="28" t="s">
        <v>952</v>
      </c>
      <c r="C73" s="28" t="s">
        <v>952</v>
      </c>
      <c r="D73" s="26" t="s">
        <v>953</v>
      </c>
      <c r="E73" s="38" t="s">
        <v>1585</v>
      </c>
      <c r="F73" s="38" t="s">
        <v>1370</v>
      </c>
      <c r="G73" s="39" t="s">
        <v>954</v>
      </c>
      <c r="H73" s="28" t="s">
        <v>747</v>
      </c>
      <c r="I73" s="28" t="s">
        <v>748</v>
      </c>
      <c r="J73" s="47" t="s">
        <v>749</v>
      </c>
      <c r="K73" s="47" t="s">
        <v>750</v>
      </c>
      <c r="L73" s="38" t="s">
        <v>785</v>
      </c>
      <c r="M73" s="40" t="s">
        <v>752</v>
      </c>
      <c r="N73" s="26">
        <v>501</v>
      </c>
      <c r="O73" s="368" t="str">
        <f t="shared" si="47"/>
        <v>Alta</v>
      </c>
      <c r="P73" s="27">
        <f>+VLOOKUP(O73,Probabilidad!$B$5:$C$9,2,FALSE)</f>
        <v>0.8</v>
      </c>
      <c r="Q73" s="28" t="s">
        <v>770</v>
      </c>
      <c r="R73" s="369" t="str">
        <f>+VLOOKUP(Q73,Impacto!$B$5:$D$9,2,FALSE)</f>
        <v>Moderado</v>
      </c>
      <c r="S73" s="27">
        <f>+VLOOKUP(Q73,Impacto!$B$5:$D$9,3,FALSE)</f>
        <v>0.6</v>
      </c>
      <c r="T73" s="27">
        <f t="shared" si="48"/>
        <v>0.48</v>
      </c>
      <c r="U73" s="340" t="str">
        <f t="shared" ref="U73:U136" si="51">+IF(T73&lt;=11%,"Bajo",IF(AND(T73&gt;=12%,T73&lt;=39%),"Moderado",IF(AND(T73&gt;=40%,T73&lt;=64%),"Alto",IF(T73&gt;64%,"Extremo",""))))</f>
        <v>Alto</v>
      </c>
      <c r="V73" s="26">
        <v>1</v>
      </c>
      <c r="W73" s="38" t="s">
        <v>955</v>
      </c>
      <c r="X73" s="35" t="str">
        <f t="shared" si="1"/>
        <v>Probabilidad</v>
      </c>
      <c r="Y73" s="42" t="s">
        <v>755</v>
      </c>
      <c r="Z73" s="42" t="s">
        <v>756</v>
      </c>
      <c r="AA73" s="43" t="str">
        <f t="shared" si="2"/>
        <v>40%</v>
      </c>
      <c r="AB73" s="42" t="s">
        <v>738</v>
      </c>
      <c r="AC73" s="42" t="s">
        <v>757</v>
      </c>
      <c r="AD73" s="42" t="s">
        <v>758</v>
      </c>
      <c r="AE73" s="38" t="s">
        <v>956</v>
      </c>
      <c r="AF73" s="27">
        <f t="shared" si="42"/>
        <v>0.48</v>
      </c>
      <c r="AG73" s="37" t="str">
        <f t="shared" si="43"/>
        <v>Media</v>
      </c>
      <c r="AH73" s="27">
        <f t="shared" si="44"/>
        <v>0.6</v>
      </c>
      <c r="AI73" s="37" t="str">
        <f t="shared" si="45"/>
        <v>Moderado</v>
      </c>
      <c r="AJ73" s="36">
        <f t="shared" si="46"/>
        <v>0.28799999999999998</v>
      </c>
      <c r="AK73" s="340" t="str">
        <f t="shared" ref="AK73:AK136" si="52">+IF(AJ73&lt;=11%,"Bajo",IF(AND(AJ73&gt;=12%,AJ73&lt;=39%),"Moderado",IF(AND(AJ73&gt;=40%,AJ73&lt;=64%),"Alto",IF(AJ73&gt;64%,"Extremo",""))))</f>
        <v>Moderado</v>
      </c>
      <c r="AL73" s="37" t="str">
        <f t="shared" si="50"/>
        <v>Moderado</v>
      </c>
      <c r="AM73" s="26" t="s">
        <v>1276</v>
      </c>
      <c r="AN73" s="26"/>
      <c r="AO73" s="26"/>
      <c r="AP73" s="26"/>
      <c r="AQ73" s="26"/>
      <c r="AR73" s="26"/>
      <c r="AS73" s="26"/>
    </row>
    <row r="74" spans="2:45" s="30" customFormat="1" ht="89.25" customHeight="1" x14ac:dyDescent="0.25">
      <c r="B74" s="28" t="s">
        <v>957</v>
      </c>
      <c r="C74" s="28" t="s">
        <v>958</v>
      </c>
      <c r="D74" s="38" t="s">
        <v>959</v>
      </c>
      <c r="E74" s="38" t="s">
        <v>960</v>
      </c>
      <c r="F74" s="38" t="s">
        <v>961</v>
      </c>
      <c r="G74" s="39" t="s">
        <v>962</v>
      </c>
      <c r="H74" s="28" t="s">
        <v>747</v>
      </c>
      <c r="I74" s="28" t="s">
        <v>748</v>
      </c>
      <c r="J74" s="47" t="s">
        <v>749</v>
      </c>
      <c r="K74" s="47" t="s">
        <v>750</v>
      </c>
      <c r="L74" s="38" t="s">
        <v>751</v>
      </c>
      <c r="M74" s="40" t="s">
        <v>752</v>
      </c>
      <c r="N74" s="26">
        <v>175</v>
      </c>
      <c r="O74" s="368" t="str">
        <f t="shared" si="47"/>
        <v>Media</v>
      </c>
      <c r="P74" s="27">
        <f>+VLOOKUP(O74,Probabilidad!$B$5:$C$9,2,FALSE)</f>
        <v>0.6</v>
      </c>
      <c r="Q74" s="28" t="s">
        <v>770</v>
      </c>
      <c r="R74" s="369" t="str">
        <f>+VLOOKUP(Q74,Impacto!$B$5:$D$9,2,FALSE)</f>
        <v>Moderado</v>
      </c>
      <c r="S74" s="27">
        <f>+VLOOKUP(Q74,Impacto!$B$5:$D$9,3,FALSE)</f>
        <v>0.6</v>
      </c>
      <c r="T74" s="27">
        <f t="shared" si="48"/>
        <v>0.36</v>
      </c>
      <c r="U74" s="340" t="str">
        <f t="shared" si="51"/>
        <v>Moderado</v>
      </c>
      <c r="V74" s="40">
        <v>1</v>
      </c>
      <c r="W74" s="38" t="s">
        <v>936</v>
      </c>
      <c r="X74" s="35" t="str">
        <f t="shared" si="1"/>
        <v>Probabilidad</v>
      </c>
      <c r="Y74" s="42" t="s">
        <v>755</v>
      </c>
      <c r="Z74" s="42" t="s">
        <v>756</v>
      </c>
      <c r="AA74" s="43" t="str">
        <f t="shared" si="2"/>
        <v>40%</v>
      </c>
      <c r="AB74" s="42" t="s">
        <v>738</v>
      </c>
      <c r="AC74" s="42" t="s">
        <v>757</v>
      </c>
      <c r="AD74" s="42" t="s">
        <v>758</v>
      </c>
      <c r="AE74" s="39" t="s">
        <v>1433</v>
      </c>
      <c r="AF74" s="27">
        <f t="shared" si="42"/>
        <v>0.36</v>
      </c>
      <c r="AG74" s="37" t="str">
        <f t="shared" si="43"/>
        <v>Baja</v>
      </c>
      <c r="AH74" s="27">
        <f t="shared" si="44"/>
        <v>0.6</v>
      </c>
      <c r="AI74" s="37" t="str">
        <f t="shared" si="45"/>
        <v>Moderado</v>
      </c>
      <c r="AJ74" s="36">
        <f t="shared" si="46"/>
        <v>0.216</v>
      </c>
      <c r="AK74" s="340" t="str">
        <f t="shared" si="52"/>
        <v>Moderado</v>
      </c>
      <c r="AL74" s="37" t="str">
        <f t="shared" si="50"/>
        <v>Moderado</v>
      </c>
      <c r="AM74" s="26" t="s">
        <v>1276</v>
      </c>
      <c r="AN74" s="26"/>
      <c r="AO74" s="26"/>
      <c r="AP74" s="26"/>
      <c r="AQ74" s="26"/>
      <c r="AR74" s="26"/>
      <c r="AS74" s="26"/>
    </row>
    <row r="75" spans="2:45" s="30" customFormat="1" ht="96.75" customHeight="1" x14ac:dyDescent="0.25">
      <c r="B75" s="554" t="s">
        <v>957</v>
      </c>
      <c r="C75" s="554" t="s">
        <v>958</v>
      </c>
      <c r="D75" s="560" t="s">
        <v>963</v>
      </c>
      <c r="E75" s="560" t="s">
        <v>964</v>
      </c>
      <c r="F75" s="560" t="s">
        <v>1371</v>
      </c>
      <c r="G75" s="558" t="s">
        <v>940</v>
      </c>
      <c r="H75" s="554" t="s">
        <v>747</v>
      </c>
      <c r="I75" s="554" t="s">
        <v>748</v>
      </c>
      <c r="J75" s="563" t="s">
        <v>749</v>
      </c>
      <c r="K75" s="563" t="s">
        <v>750</v>
      </c>
      <c r="L75" s="579" t="s">
        <v>751</v>
      </c>
      <c r="M75" s="581" t="s">
        <v>752</v>
      </c>
      <c r="N75" s="563">
        <v>428</v>
      </c>
      <c r="O75" s="596" t="str">
        <f t="shared" si="47"/>
        <v>Media</v>
      </c>
      <c r="P75" s="594">
        <f>+VLOOKUP(O75,Probabilidad!$B$5:$C$9,2,FALSE)</f>
        <v>0.6</v>
      </c>
      <c r="Q75" s="554" t="s">
        <v>753</v>
      </c>
      <c r="R75" s="596" t="str">
        <f>+VLOOKUP(Q75,Impacto!$B$5:$D$9,2,FALSE)</f>
        <v>Mayor</v>
      </c>
      <c r="S75" s="594">
        <f>+VLOOKUP(Q75,Impacto!$B$5:$D$9,3,FALSE)</f>
        <v>0.8</v>
      </c>
      <c r="T75" s="594">
        <f t="shared" si="48"/>
        <v>0.48</v>
      </c>
      <c r="U75" s="567" t="str">
        <f t="shared" si="51"/>
        <v>Alto</v>
      </c>
      <c r="V75" s="40">
        <v>1</v>
      </c>
      <c r="W75" s="38" t="s">
        <v>1581</v>
      </c>
      <c r="X75" s="35" t="str">
        <f t="shared" si="1"/>
        <v>Probabilidad</v>
      </c>
      <c r="Y75" s="42" t="s">
        <v>755</v>
      </c>
      <c r="Z75" s="42" t="s">
        <v>756</v>
      </c>
      <c r="AA75" s="43" t="str">
        <f t="shared" si="2"/>
        <v>40%</v>
      </c>
      <c r="AB75" s="42" t="s">
        <v>738</v>
      </c>
      <c r="AC75" s="42" t="s">
        <v>757</v>
      </c>
      <c r="AD75" s="42" t="s">
        <v>758</v>
      </c>
      <c r="AE75" s="38" t="s">
        <v>965</v>
      </c>
      <c r="AF75" s="27">
        <f t="shared" si="42"/>
        <v>0.36</v>
      </c>
      <c r="AG75" s="37" t="str">
        <f t="shared" si="43"/>
        <v>Baja</v>
      </c>
      <c r="AH75" s="27">
        <f t="shared" si="44"/>
        <v>0.8</v>
      </c>
      <c r="AI75" s="37" t="str">
        <f t="shared" si="45"/>
        <v>Mayor</v>
      </c>
      <c r="AJ75" s="36">
        <f t="shared" si="46"/>
        <v>0.28799999999999998</v>
      </c>
      <c r="AK75" s="340" t="str">
        <f t="shared" si="52"/>
        <v>Moderado</v>
      </c>
      <c r="AL75" s="614" t="str">
        <f>+AK76</f>
        <v>Moderado</v>
      </c>
      <c r="AM75" s="563" t="s">
        <v>759</v>
      </c>
      <c r="AN75" s="26"/>
      <c r="AO75" s="26"/>
      <c r="AP75" s="26"/>
      <c r="AQ75" s="26"/>
      <c r="AR75" s="26"/>
      <c r="AS75" s="26"/>
    </row>
    <row r="76" spans="2:45" s="30" customFormat="1" ht="70.5" customHeight="1" x14ac:dyDescent="0.25">
      <c r="B76" s="555"/>
      <c r="C76" s="555"/>
      <c r="D76" s="560"/>
      <c r="E76" s="560"/>
      <c r="F76" s="560"/>
      <c r="G76" s="558"/>
      <c r="H76" s="555"/>
      <c r="I76" s="555"/>
      <c r="J76" s="564"/>
      <c r="K76" s="564"/>
      <c r="L76" s="580"/>
      <c r="M76" s="582"/>
      <c r="N76" s="564"/>
      <c r="O76" s="597"/>
      <c r="P76" s="595"/>
      <c r="Q76" s="555"/>
      <c r="R76" s="597" t="e">
        <f>+VLOOKUP(Q76,Impacto!$B$5:$D$9,2,FALSE)</f>
        <v>#N/A</v>
      </c>
      <c r="S76" s="595" t="e">
        <f>+VLOOKUP(Q76,Impacto!$B$5:$D$9,3,FALSE)</f>
        <v>#N/A</v>
      </c>
      <c r="T76" s="595"/>
      <c r="U76" s="569" t="str">
        <f t="shared" si="51"/>
        <v>Bajo</v>
      </c>
      <c r="V76" s="40">
        <v>2</v>
      </c>
      <c r="W76" s="38" t="s">
        <v>1581</v>
      </c>
      <c r="X76" s="35" t="str">
        <f t="shared" si="1"/>
        <v>Probabilidad</v>
      </c>
      <c r="Y76" s="42" t="s">
        <v>755</v>
      </c>
      <c r="Z76" s="42" t="s">
        <v>756</v>
      </c>
      <c r="AA76" s="43" t="str">
        <f t="shared" si="2"/>
        <v>40%</v>
      </c>
      <c r="AB76" s="42" t="s">
        <v>738</v>
      </c>
      <c r="AC76" s="42" t="s">
        <v>757</v>
      </c>
      <c r="AD76" s="42" t="s">
        <v>758</v>
      </c>
      <c r="AE76" s="38" t="s">
        <v>966</v>
      </c>
      <c r="AF76" s="27">
        <f>IFERROR(IF(AND(X75="Probabilidad",X76="Probabilidad"),(AF75-(+AF75*AA76)),IF(X76="Probabilidad",(P75-(P75*AA76)),IF(X76="Impacto",P75,""))),"")</f>
        <v>0.216</v>
      </c>
      <c r="AG76" s="37" t="str">
        <f t="shared" si="43"/>
        <v>Baja</v>
      </c>
      <c r="AH76" s="27">
        <f>IFERROR(IF(AND(X75="Impacto",X76="Impacto"),(AH75-(+AH75*AA76)),IF(X76="Impacto",(S75-(+S75*AA76)),IF(X76="Probabilidad",AH75,""))),"")</f>
        <v>0.8</v>
      </c>
      <c r="AI76" s="37" t="str">
        <f t="shared" si="45"/>
        <v>Mayor</v>
      </c>
      <c r="AJ76" s="36">
        <f t="shared" si="46"/>
        <v>0.17280000000000001</v>
      </c>
      <c r="AK76" s="340" t="str">
        <f t="shared" si="52"/>
        <v>Moderado</v>
      </c>
      <c r="AL76" s="616"/>
      <c r="AM76" s="564"/>
      <c r="AN76" s="26"/>
      <c r="AO76" s="26"/>
      <c r="AP76" s="26"/>
      <c r="AQ76" s="26"/>
      <c r="AR76" s="26"/>
      <c r="AS76" s="26"/>
    </row>
    <row r="77" spans="2:45" s="30" customFormat="1" ht="133.5" customHeight="1" x14ac:dyDescent="0.25">
      <c r="B77" s="28" t="s">
        <v>967</v>
      </c>
      <c r="C77" s="28" t="s">
        <v>968</v>
      </c>
      <c r="D77" s="39" t="s">
        <v>969</v>
      </c>
      <c r="E77" s="38" t="s">
        <v>1590</v>
      </c>
      <c r="F77" s="38" t="s">
        <v>1372</v>
      </c>
      <c r="G77" s="39" t="s">
        <v>1446</v>
      </c>
      <c r="H77" s="28" t="s">
        <v>747</v>
      </c>
      <c r="I77" s="28" t="s">
        <v>748</v>
      </c>
      <c r="J77" s="26" t="s">
        <v>749</v>
      </c>
      <c r="K77" s="26" t="s">
        <v>750</v>
      </c>
      <c r="L77" s="38" t="s">
        <v>785</v>
      </c>
      <c r="M77" s="40" t="s">
        <v>752</v>
      </c>
      <c r="N77" s="41">
        <v>4417</v>
      </c>
      <c r="O77" s="368" t="str">
        <f>IF(N77&lt;=0,"",IF(N77&lt;=2,"Muy Baja",IF(N77&lt;=24,"Baja",IF(N77&lt;=500,"Media",IF(N77&lt;=5000,"Alta","Muy Alta")))))</f>
        <v>Alta</v>
      </c>
      <c r="P77" s="27">
        <f>+VLOOKUP(O77,Probabilidad!$B$5:$C$9,2,FALSE)</f>
        <v>0.8</v>
      </c>
      <c r="Q77" s="28" t="s">
        <v>770</v>
      </c>
      <c r="R77" s="369" t="str">
        <f>+VLOOKUP(Q77,Impacto!$B$5:$D$9,2,FALSE)</f>
        <v>Moderado</v>
      </c>
      <c r="S77" s="27">
        <f>+VLOOKUP(Q77,Impacto!$B$5:$D$9,3,FALSE)</f>
        <v>0.6</v>
      </c>
      <c r="T77" s="27">
        <f>+P77*S77</f>
        <v>0.48</v>
      </c>
      <c r="U77" s="340" t="str">
        <f t="shared" si="51"/>
        <v>Alto</v>
      </c>
      <c r="V77" s="40">
        <v>1</v>
      </c>
      <c r="W77" s="38" t="s">
        <v>1373</v>
      </c>
      <c r="X77" s="35" t="str">
        <f t="shared" si="1"/>
        <v>Probabilidad</v>
      </c>
      <c r="Y77" s="42" t="s">
        <v>755</v>
      </c>
      <c r="Z77" s="42" t="s">
        <v>756</v>
      </c>
      <c r="AA77" s="43" t="str">
        <f t="shared" si="2"/>
        <v>40%</v>
      </c>
      <c r="AB77" s="42" t="s">
        <v>738</v>
      </c>
      <c r="AC77" s="42" t="s">
        <v>757</v>
      </c>
      <c r="AD77" s="42" t="s">
        <v>758</v>
      </c>
      <c r="AE77" s="38" t="s">
        <v>1447</v>
      </c>
      <c r="AF77" s="27">
        <f>IFERROR(IF(X77="Probabilidad",(P77-(P77*AA77)),IF(X77="Impacto",P77,"")),"")</f>
        <v>0.48</v>
      </c>
      <c r="AG77" s="37" t="str">
        <f t="shared" si="43"/>
        <v>Media</v>
      </c>
      <c r="AH77" s="27">
        <f>IFERROR(IF(X77="Impacto",(S77-(S77*AA77)),IF(X77="Probabilidad",S77,"")),"")</f>
        <v>0.6</v>
      </c>
      <c r="AI77" s="37" t="str">
        <f t="shared" si="45"/>
        <v>Moderado</v>
      </c>
      <c r="AJ77" s="36">
        <f t="shared" si="46"/>
        <v>0.28799999999999998</v>
      </c>
      <c r="AK77" s="340" t="str">
        <f t="shared" si="52"/>
        <v>Moderado</v>
      </c>
      <c r="AL77" s="37" t="str">
        <f>+AK77</f>
        <v>Moderado</v>
      </c>
      <c r="AM77" s="26" t="s">
        <v>759</v>
      </c>
      <c r="AN77" s="26"/>
      <c r="AO77" s="26"/>
      <c r="AP77" s="26"/>
      <c r="AQ77" s="26"/>
      <c r="AR77" s="26"/>
      <c r="AS77" s="26"/>
    </row>
    <row r="78" spans="2:45" s="30" customFormat="1" ht="209.25" customHeight="1" x14ac:dyDescent="0.25">
      <c r="B78" s="28" t="s">
        <v>967</v>
      </c>
      <c r="C78" s="28" t="s">
        <v>968</v>
      </c>
      <c r="D78" s="39" t="s">
        <v>970</v>
      </c>
      <c r="E78" s="38" t="s">
        <v>971</v>
      </c>
      <c r="F78" s="38" t="s">
        <v>972</v>
      </c>
      <c r="G78" s="39" t="s">
        <v>1448</v>
      </c>
      <c r="H78" s="28" t="s">
        <v>747</v>
      </c>
      <c r="I78" s="28" t="s">
        <v>748</v>
      </c>
      <c r="J78" s="28" t="s">
        <v>778</v>
      </c>
      <c r="K78" s="26" t="s">
        <v>779</v>
      </c>
      <c r="L78" s="38" t="s">
        <v>785</v>
      </c>
      <c r="M78" s="40" t="s">
        <v>752</v>
      </c>
      <c r="N78" s="41">
        <v>4417</v>
      </c>
      <c r="O78" s="368" t="str">
        <f>IF(N78&lt;=0,"",IF(N78&lt;=2,"Muy Baja",IF(N78&lt;=24,"Baja",IF(N78&lt;=500,"Media",IF(N78&lt;=5000,"Alta","Muy Alta")))))</f>
        <v>Alta</v>
      </c>
      <c r="P78" s="27">
        <f>+VLOOKUP(O78,Probabilidad!$B$5:$C$9,2,FALSE)</f>
        <v>0.8</v>
      </c>
      <c r="Q78" s="28" t="s">
        <v>770</v>
      </c>
      <c r="R78" s="369" t="str">
        <f>+VLOOKUP(Q78,Impacto!$B$5:$D$9,2,FALSE)</f>
        <v>Moderado</v>
      </c>
      <c r="S78" s="27">
        <f>+VLOOKUP(Q78,Impacto!$B$5:$D$9,3,FALSE)</f>
        <v>0.6</v>
      </c>
      <c r="T78" s="27">
        <f>+P78*S78</f>
        <v>0.48</v>
      </c>
      <c r="U78" s="340" t="str">
        <f t="shared" si="51"/>
        <v>Alto</v>
      </c>
      <c r="V78" s="40">
        <v>1</v>
      </c>
      <c r="W78" s="38" t="s">
        <v>973</v>
      </c>
      <c r="X78" s="35" t="str">
        <f t="shared" si="1"/>
        <v>Probabilidad</v>
      </c>
      <c r="Y78" s="42" t="s">
        <v>755</v>
      </c>
      <c r="Z78" s="42" t="s">
        <v>756</v>
      </c>
      <c r="AA78" s="43" t="str">
        <f t="shared" si="2"/>
        <v>40%</v>
      </c>
      <c r="AB78" s="42" t="s">
        <v>738</v>
      </c>
      <c r="AC78" s="42" t="s">
        <v>757</v>
      </c>
      <c r="AD78" s="42" t="s">
        <v>758</v>
      </c>
      <c r="AE78" s="38" t="s">
        <v>1450</v>
      </c>
      <c r="AF78" s="27">
        <f>IFERROR(IF(X78="Probabilidad",(P78-(P78*AA78)),IF(X78="Impacto",P78,"")),"")</f>
        <v>0.48</v>
      </c>
      <c r="AG78" s="37" t="str">
        <f t="shared" si="43"/>
        <v>Media</v>
      </c>
      <c r="AH78" s="27">
        <f>IFERROR(IF(X78="Impacto",(S78-(S78*AA78)),IF(X78="Probabilidad",S78,"")),"")</f>
        <v>0.6</v>
      </c>
      <c r="AI78" s="37" t="str">
        <f t="shared" si="45"/>
        <v>Moderado</v>
      </c>
      <c r="AJ78" s="36">
        <f t="shared" si="46"/>
        <v>0.28799999999999998</v>
      </c>
      <c r="AK78" s="340" t="str">
        <f t="shared" si="52"/>
        <v>Moderado</v>
      </c>
      <c r="AL78" s="37" t="str">
        <f>+AK78</f>
        <v>Moderado</v>
      </c>
      <c r="AM78" s="26" t="s">
        <v>759</v>
      </c>
      <c r="AN78" s="26"/>
      <c r="AO78" s="26"/>
      <c r="AP78" s="26"/>
      <c r="AQ78" s="26"/>
      <c r="AR78" s="26"/>
      <c r="AS78" s="26"/>
    </row>
    <row r="79" spans="2:45" s="30" customFormat="1" ht="63.75" customHeight="1" x14ac:dyDescent="0.25">
      <c r="B79" s="554" t="s">
        <v>967</v>
      </c>
      <c r="C79" s="554" t="s">
        <v>968</v>
      </c>
      <c r="D79" s="586" t="s">
        <v>974</v>
      </c>
      <c r="E79" s="579" t="s">
        <v>975</v>
      </c>
      <c r="F79" s="579" t="s">
        <v>976</v>
      </c>
      <c r="G79" s="586" t="s">
        <v>1449</v>
      </c>
      <c r="H79" s="554" t="s">
        <v>747</v>
      </c>
      <c r="I79" s="554" t="s">
        <v>748</v>
      </c>
      <c r="J79" s="554" t="s">
        <v>778</v>
      </c>
      <c r="K79" s="563" t="s">
        <v>779</v>
      </c>
      <c r="L79" s="579" t="s">
        <v>785</v>
      </c>
      <c r="M79" s="581" t="s">
        <v>752</v>
      </c>
      <c r="N79" s="583">
        <v>4417</v>
      </c>
      <c r="O79" s="596" t="str">
        <f>IF(N79&lt;=0,"",IF(N79&lt;=2,"Muy Baja",IF(N79&lt;=24,"Baja",IF(N79&lt;=500,"Media",IF(N79&lt;=5000,"Alta","Muy Alta")))))</f>
        <v>Alta</v>
      </c>
      <c r="P79" s="594">
        <f>+VLOOKUP(O79,Probabilidad!$B$5:$C$9,2,FALSE)</f>
        <v>0.8</v>
      </c>
      <c r="Q79" s="554" t="s">
        <v>770</v>
      </c>
      <c r="R79" s="596" t="str">
        <f>+VLOOKUP(Q79,Impacto!$B$5:$D$9,2,FALSE)</f>
        <v>Moderado</v>
      </c>
      <c r="S79" s="594">
        <f>+VLOOKUP(Q79,Impacto!$B$5:$D$9,3,FALSE)</f>
        <v>0.6</v>
      </c>
      <c r="T79" s="594">
        <f>+P79*S79</f>
        <v>0.48</v>
      </c>
      <c r="U79" s="567" t="str">
        <f t="shared" si="51"/>
        <v>Alto</v>
      </c>
      <c r="V79" s="40">
        <v>1</v>
      </c>
      <c r="W79" s="38" t="s">
        <v>977</v>
      </c>
      <c r="X79" s="35" t="str">
        <f t="shared" si="1"/>
        <v>Probabilidad</v>
      </c>
      <c r="Y79" s="42" t="s">
        <v>755</v>
      </c>
      <c r="Z79" s="42" t="s">
        <v>756</v>
      </c>
      <c r="AA79" s="43" t="str">
        <f t="shared" si="2"/>
        <v>40%</v>
      </c>
      <c r="AB79" s="42" t="s">
        <v>738</v>
      </c>
      <c r="AC79" s="42" t="s">
        <v>757</v>
      </c>
      <c r="AD79" s="42" t="s">
        <v>758</v>
      </c>
      <c r="AE79" s="38" t="s">
        <v>978</v>
      </c>
      <c r="AF79" s="27">
        <f>IFERROR(IF(X79="Probabilidad",(P79-(P79*AA79)),IF(X79="Impacto",P79,"")),"")</f>
        <v>0.48</v>
      </c>
      <c r="AG79" s="37" t="str">
        <f t="shared" si="43"/>
        <v>Media</v>
      </c>
      <c r="AH79" s="27">
        <f>IFERROR(IF(X79="Impacto",(S79-(S79*AA79)),IF(X79="Probabilidad",S79,"")),"")</f>
        <v>0.6</v>
      </c>
      <c r="AI79" s="37" t="str">
        <f t="shared" si="45"/>
        <v>Moderado</v>
      </c>
      <c r="AJ79" s="36">
        <f t="shared" si="46"/>
        <v>0.28799999999999998</v>
      </c>
      <c r="AK79" s="340" t="str">
        <f t="shared" si="52"/>
        <v>Moderado</v>
      </c>
      <c r="AL79" s="614" t="str">
        <f>+AK80</f>
        <v>Moderado</v>
      </c>
      <c r="AM79" s="563" t="s">
        <v>759</v>
      </c>
      <c r="AN79" s="26"/>
      <c r="AO79" s="26"/>
      <c r="AP79" s="26"/>
      <c r="AQ79" s="26"/>
      <c r="AR79" s="26"/>
      <c r="AS79" s="26"/>
    </row>
    <row r="80" spans="2:45" s="30" customFormat="1" ht="82.5" customHeight="1" x14ac:dyDescent="0.25">
      <c r="B80" s="555"/>
      <c r="C80" s="555"/>
      <c r="D80" s="588"/>
      <c r="E80" s="580"/>
      <c r="F80" s="580"/>
      <c r="G80" s="588"/>
      <c r="H80" s="555"/>
      <c r="I80" s="555"/>
      <c r="J80" s="555"/>
      <c r="K80" s="564"/>
      <c r="L80" s="580"/>
      <c r="M80" s="582"/>
      <c r="N80" s="584"/>
      <c r="O80" s="597"/>
      <c r="P80" s="595"/>
      <c r="Q80" s="555"/>
      <c r="R80" s="597" t="e">
        <f>+VLOOKUP(Q80,Impacto!$B$5:$D$9,2,FALSE)</f>
        <v>#N/A</v>
      </c>
      <c r="S80" s="595" t="e">
        <f>+VLOOKUP(Q80,Impacto!$B$5:$D$9,3,FALSE)</f>
        <v>#N/A</v>
      </c>
      <c r="T80" s="595"/>
      <c r="U80" s="569" t="str">
        <f t="shared" si="51"/>
        <v>Bajo</v>
      </c>
      <c r="V80" s="40">
        <v>2</v>
      </c>
      <c r="W80" s="38" t="s">
        <v>979</v>
      </c>
      <c r="X80" s="35" t="str">
        <f t="shared" si="1"/>
        <v>Probabilidad</v>
      </c>
      <c r="Y80" s="42" t="s">
        <v>755</v>
      </c>
      <c r="Z80" s="42" t="s">
        <v>756</v>
      </c>
      <c r="AA80" s="43" t="str">
        <f t="shared" si="2"/>
        <v>40%</v>
      </c>
      <c r="AB80" s="42" t="s">
        <v>738</v>
      </c>
      <c r="AC80" s="42" t="s">
        <v>757</v>
      </c>
      <c r="AD80" s="42" t="s">
        <v>758</v>
      </c>
      <c r="AE80" s="38" t="s">
        <v>980</v>
      </c>
      <c r="AF80" s="27">
        <f>IFERROR(IF(AND(X79="Probabilidad",X80="Probabilidad"),(AF79-(+AF79*AA80)),IF(X80="Probabilidad",(P79-(P79*AA80)),IF(X80="Impacto",P79,""))),"")</f>
        <v>0.28799999999999998</v>
      </c>
      <c r="AG80" s="37" t="str">
        <f t="shared" si="43"/>
        <v>Baja</v>
      </c>
      <c r="AH80" s="27">
        <f>IFERROR(IF(AND(X79="Impacto",X80="Impacto"),(AH79-(+AH79*AA80)),IF(X80="Impacto",(S79-(+S79*AA80)),IF(X80="Probabilidad",AH79,""))),"")</f>
        <v>0.6</v>
      </c>
      <c r="AI80" s="37" t="str">
        <f t="shared" si="45"/>
        <v>Moderado</v>
      </c>
      <c r="AJ80" s="36">
        <f t="shared" si="46"/>
        <v>0.17279999999999998</v>
      </c>
      <c r="AK80" s="340" t="str">
        <f t="shared" si="52"/>
        <v>Moderado</v>
      </c>
      <c r="AL80" s="616"/>
      <c r="AM80" s="564"/>
      <c r="AN80" s="26"/>
      <c r="AO80" s="26"/>
      <c r="AP80" s="26"/>
      <c r="AQ80" s="26"/>
      <c r="AR80" s="26"/>
      <c r="AS80" s="26"/>
    </row>
    <row r="81" spans="2:45" s="30" customFormat="1" ht="109.5" customHeight="1" x14ac:dyDescent="0.25">
      <c r="B81" s="554" t="s">
        <v>967</v>
      </c>
      <c r="C81" s="554" t="s">
        <v>968</v>
      </c>
      <c r="D81" s="558" t="s">
        <v>981</v>
      </c>
      <c r="E81" s="560" t="s">
        <v>982</v>
      </c>
      <c r="F81" s="560" t="s">
        <v>1375</v>
      </c>
      <c r="G81" s="558" t="s">
        <v>1451</v>
      </c>
      <c r="H81" s="554" t="s">
        <v>747</v>
      </c>
      <c r="I81" s="554" t="s">
        <v>748</v>
      </c>
      <c r="J81" s="563" t="s">
        <v>749</v>
      </c>
      <c r="K81" s="563" t="s">
        <v>750</v>
      </c>
      <c r="L81" s="560" t="s">
        <v>785</v>
      </c>
      <c r="M81" s="581" t="s">
        <v>752</v>
      </c>
      <c r="N81" s="578">
        <v>4417</v>
      </c>
      <c r="O81" s="596" t="str">
        <f>IF(N81&lt;=0,"",IF(N81&lt;=2,"Muy Baja",IF(N81&lt;=24,"Baja",IF(N81&lt;=500,"Media",IF(N81&lt;=5000,"Alta","Muy Alta")))))</f>
        <v>Alta</v>
      </c>
      <c r="P81" s="594">
        <f>+VLOOKUP(O81,Probabilidad!$B$5:$C$9,2,FALSE)</f>
        <v>0.8</v>
      </c>
      <c r="Q81" s="554" t="s">
        <v>770</v>
      </c>
      <c r="R81" s="596" t="str">
        <f>+VLOOKUP(Q81,Impacto!$B$5:$D$9,2,FALSE)</f>
        <v>Moderado</v>
      </c>
      <c r="S81" s="594">
        <f>+VLOOKUP(Q81,Impacto!$B$5:$D$9,3,FALSE)</f>
        <v>0.6</v>
      </c>
      <c r="T81" s="594">
        <f>+P81*S81</f>
        <v>0.48</v>
      </c>
      <c r="U81" s="567" t="str">
        <f t="shared" si="51"/>
        <v>Alto</v>
      </c>
      <c r="V81" s="40">
        <v>1</v>
      </c>
      <c r="W81" s="38" t="s">
        <v>983</v>
      </c>
      <c r="X81" s="35" t="str">
        <f t="shared" si="1"/>
        <v>Probabilidad</v>
      </c>
      <c r="Y81" s="42" t="s">
        <v>755</v>
      </c>
      <c r="Z81" s="42" t="s">
        <v>756</v>
      </c>
      <c r="AA81" s="43" t="str">
        <f t="shared" si="2"/>
        <v>40%</v>
      </c>
      <c r="AB81" s="42" t="s">
        <v>738</v>
      </c>
      <c r="AC81" s="42" t="s">
        <v>757</v>
      </c>
      <c r="AD81" s="42" t="s">
        <v>758</v>
      </c>
      <c r="AE81" s="38" t="s">
        <v>1453</v>
      </c>
      <c r="AF81" s="27">
        <f>IFERROR(IF(X81="Probabilidad",(P81-(P81*AA81)),IF(X81="Impacto",P81,"")),"")</f>
        <v>0.48</v>
      </c>
      <c r="AG81" s="37" t="str">
        <f t="shared" si="43"/>
        <v>Media</v>
      </c>
      <c r="AH81" s="27">
        <f>IFERROR(IF(X81="Impacto",(S81-(S81*AA81)),IF(X81="Probabilidad",S81,"")),"")</f>
        <v>0.6</v>
      </c>
      <c r="AI81" s="37" t="str">
        <f t="shared" si="45"/>
        <v>Moderado</v>
      </c>
      <c r="AJ81" s="36">
        <f t="shared" si="46"/>
        <v>0.28799999999999998</v>
      </c>
      <c r="AK81" s="340" t="str">
        <f t="shared" si="52"/>
        <v>Moderado</v>
      </c>
      <c r="AL81" s="614" t="str">
        <f>+AK82</f>
        <v>Moderado</v>
      </c>
      <c r="AM81" s="563" t="s">
        <v>1276</v>
      </c>
      <c r="AN81" s="26"/>
      <c r="AO81" s="26"/>
      <c r="AP81" s="26"/>
      <c r="AQ81" s="26"/>
      <c r="AR81" s="26"/>
      <c r="AS81" s="26"/>
    </row>
    <row r="82" spans="2:45" s="30" customFormat="1" ht="102" customHeight="1" x14ac:dyDescent="0.25">
      <c r="B82" s="555"/>
      <c r="C82" s="555"/>
      <c r="D82" s="586"/>
      <c r="E82" s="579"/>
      <c r="F82" s="579"/>
      <c r="G82" s="586"/>
      <c r="H82" s="566"/>
      <c r="I82" s="566"/>
      <c r="J82" s="598"/>
      <c r="K82" s="598"/>
      <c r="L82" s="579"/>
      <c r="M82" s="590"/>
      <c r="N82" s="583"/>
      <c r="O82" s="597"/>
      <c r="P82" s="595"/>
      <c r="Q82" s="555"/>
      <c r="R82" s="597" t="e">
        <f>+VLOOKUP(Q82,Impacto!$B$5:$D$9,2,FALSE)</f>
        <v>#N/A</v>
      </c>
      <c r="S82" s="595" t="e">
        <f>+VLOOKUP(Q82,Impacto!$B$5:$D$9,3,FALSE)</f>
        <v>#N/A</v>
      </c>
      <c r="T82" s="595"/>
      <c r="U82" s="569" t="str">
        <f t="shared" si="51"/>
        <v>Bajo</v>
      </c>
      <c r="V82" s="338">
        <v>2</v>
      </c>
      <c r="W82" s="46" t="s">
        <v>984</v>
      </c>
      <c r="X82" s="352" t="str">
        <f t="shared" si="1"/>
        <v>Probabilidad</v>
      </c>
      <c r="Y82" s="337" t="s">
        <v>755</v>
      </c>
      <c r="Z82" s="337" t="s">
        <v>756</v>
      </c>
      <c r="AA82" s="353" t="str">
        <f t="shared" si="2"/>
        <v>40%</v>
      </c>
      <c r="AB82" s="337" t="s">
        <v>738</v>
      </c>
      <c r="AC82" s="337" t="s">
        <v>757</v>
      </c>
      <c r="AD82" s="337" t="s">
        <v>758</v>
      </c>
      <c r="AE82" s="46" t="s">
        <v>1454</v>
      </c>
      <c r="AF82" s="27">
        <f>IFERROR(IF(AND(X81="Probabilidad",X82="Probabilidad"),(AF81-(+AF81*AA82)),IF(X82="Probabilidad",(P81-(P81*AA82)),IF(X82="Impacto",P81,""))),"")</f>
        <v>0.28799999999999998</v>
      </c>
      <c r="AG82" s="37" t="str">
        <f t="shared" si="43"/>
        <v>Baja</v>
      </c>
      <c r="AH82" s="27">
        <f>IFERROR(IF(AND(X81="Impacto",X82="Impacto"),(AH81-(+AH81*AA82)),IF(X82="Impacto",(S81-(+S81*AA82)),IF(X82="Probabilidad",AH81,""))),"")</f>
        <v>0.6</v>
      </c>
      <c r="AI82" s="37" t="str">
        <f t="shared" si="45"/>
        <v>Moderado</v>
      </c>
      <c r="AJ82" s="36">
        <f t="shared" si="46"/>
        <v>0.17279999999999998</v>
      </c>
      <c r="AK82" s="340" t="str">
        <f t="shared" si="52"/>
        <v>Moderado</v>
      </c>
      <c r="AL82" s="616"/>
      <c r="AM82" s="564"/>
      <c r="AN82" s="47"/>
      <c r="AO82" s="47"/>
      <c r="AP82" s="47"/>
      <c r="AQ82" s="47"/>
      <c r="AR82" s="47"/>
      <c r="AS82" s="47"/>
    </row>
    <row r="83" spans="2:45" ht="89.25" x14ac:dyDescent="0.25">
      <c r="B83" s="28" t="s">
        <v>967</v>
      </c>
      <c r="C83" s="28" t="s">
        <v>968</v>
      </c>
      <c r="D83" s="39" t="s">
        <v>985</v>
      </c>
      <c r="E83" s="38" t="s">
        <v>986</v>
      </c>
      <c r="F83" s="38" t="s">
        <v>987</v>
      </c>
      <c r="G83" s="39" t="s">
        <v>1452</v>
      </c>
      <c r="H83" s="28" t="s">
        <v>747</v>
      </c>
      <c r="I83" s="28" t="s">
        <v>748</v>
      </c>
      <c r="J83" s="28" t="s">
        <v>778</v>
      </c>
      <c r="K83" s="26" t="s">
        <v>750</v>
      </c>
      <c r="L83" s="38" t="s">
        <v>785</v>
      </c>
      <c r="M83" s="40" t="s">
        <v>752</v>
      </c>
      <c r="N83" s="41">
        <v>4417</v>
      </c>
      <c r="O83" s="368" t="str">
        <f t="shared" ref="O83:O94" si="53">IF(N83&lt;=0,"",IF(N83&lt;=2,"Muy Baja",IF(N83&lt;=24,"Baja",IF(N83&lt;=500,"Media",IF(N83&lt;=5000,"Alta","Muy Alta")))))</f>
        <v>Alta</v>
      </c>
      <c r="P83" s="27">
        <f>+VLOOKUP(O83,Probabilidad!$B$5:$C$9,2,FALSE)</f>
        <v>0.8</v>
      </c>
      <c r="Q83" s="28" t="s">
        <v>770</v>
      </c>
      <c r="R83" s="369" t="str">
        <f>+VLOOKUP(Q83,Impacto!$B$5:$D$9,2,FALSE)</f>
        <v>Moderado</v>
      </c>
      <c r="S83" s="27">
        <f>+VLOOKUP(Q83,Impacto!$B$5:$D$9,3,FALSE)</f>
        <v>0.6</v>
      </c>
      <c r="T83" s="27">
        <f t="shared" ref="T83:T94" si="54">+P83*S83</f>
        <v>0.48</v>
      </c>
      <c r="U83" s="340" t="str">
        <f t="shared" si="51"/>
        <v>Alto</v>
      </c>
      <c r="V83" s="40">
        <v>1</v>
      </c>
      <c r="W83" s="38" t="s">
        <v>988</v>
      </c>
      <c r="X83" s="35" t="str">
        <f t="shared" ref="X83:X94" si="55">IF(OR(Y83="Preventivo",Y83="Detectivo"),"Probabilidad",IF(Y83="Correctivo","Impacto",""))</f>
        <v>Probabilidad</v>
      </c>
      <c r="Y83" s="42" t="s">
        <v>755</v>
      </c>
      <c r="Z83" s="42" t="s">
        <v>756</v>
      </c>
      <c r="AA83" s="43" t="str">
        <f t="shared" ref="AA83:AA94" si="56">IF(AND(Y83="Preventivo",Z83="Automático"),"50%",IF(AND(Y83="Preventivo",Z83="Manual"),"40%",IF(AND(Y83="Detectivo",Z83="Automático"),"40%",IF(AND(Y83="Detectivo",Z83="Manual"),"30%",IF(AND(Y83="Correctivo",Z83="Automático"),"35%",IF(AND(Y83="Correctivo",Z83="Manual"),"25%",""))))))</f>
        <v>40%</v>
      </c>
      <c r="AB83" s="42" t="s">
        <v>738</v>
      </c>
      <c r="AC83" s="42" t="s">
        <v>757</v>
      </c>
      <c r="AD83" s="42" t="s">
        <v>758</v>
      </c>
      <c r="AE83" s="38" t="s">
        <v>1455</v>
      </c>
      <c r="AF83" s="27">
        <f t="shared" ref="AF83:AF95" si="57">IFERROR(IF(X83="Probabilidad",(P83-(P83*AA83)),IF(X83="Impacto",P83,"")),"")</f>
        <v>0.48</v>
      </c>
      <c r="AG83" s="37" t="str">
        <f t="shared" si="43"/>
        <v>Media</v>
      </c>
      <c r="AH83" s="27">
        <f t="shared" ref="AH83:AH95" si="58">IFERROR(IF(X83="Impacto",(S83-(S83*AA83)),IF(X83="Probabilidad",S83,"")),"")</f>
        <v>0.6</v>
      </c>
      <c r="AI83" s="37" t="str">
        <f t="shared" si="45"/>
        <v>Moderado</v>
      </c>
      <c r="AJ83" s="36">
        <f t="shared" si="46"/>
        <v>0.28799999999999998</v>
      </c>
      <c r="AK83" s="340" t="str">
        <f t="shared" si="52"/>
        <v>Moderado</v>
      </c>
      <c r="AL83" s="37" t="str">
        <f t="shared" ref="AL83:AL89" si="59">+AK83</f>
        <v>Moderado</v>
      </c>
      <c r="AM83" s="26" t="s">
        <v>759</v>
      </c>
      <c r="AN83" s="354"/>
      <c r="AO83" s="354"/>
      <c r="AP83" s="354"/>
      <c r="AQ83" s="354"/>
      <c r="AR83" s="354"/>
      <c r="AS83" s="354"/>
    </row>
    <row r="84" spans="2:45" ht="78" customHeight="1" x14ac:dyDescent="0.25">
      <c r="B84" s="28" t="s">
        <v>967</v>
      </c>
      <c r="C84" s="28" t="s">
        <v>968</v>
      </c>
      <c r="D84" s="39" t="s">
        <v>989</v>
      </c>
      <c r="E84" s="38" t="s">
        <v>1589</v>
      </c>
      <c r="F84" s="38" t="s">
        <v>1424</v>
      </c>
      <c r="G84" s="39" t="s">
        <v>1456</v>
      </c>
      <c r="H84" s="28" t="s">
        <v>991</v>
      </c>
      <c r="I84" s="28" t="s">
        <v>748</v>
      </c>
      <c r="J84" s="28" t="s">
        <v>791</v>
      </c>
      <c r="K84" s="26" t="s">
        <v>750</v>
      </c>
      <c r="L84" s="39" t="s">
        <v>992</v>
      </c>
      <c r="M84" s="40" t="s">
        <v>752</v>
      </c>
      <c r="N84" s="41">
        <v>14</v>
      </c>
      <c r="O84" s="368" t="str">
        <f t="shared" si="53"/>
        <v>Baja</v>
      </c>
      <c r="P84" s="27">
        <f>+VLOOKUP(O84,Probabilidad!$B$5:$C$9,2,FALSE)</f>
        <v>0.4</v>
      </c>
      <c r="Q84" s="28" t="s">
        <v>770</v>
      </c>
      <c r="R84" s="369" t="str">
        <f>+VLOOKUP(Q84,Impacto!$B$5:$D$9,2,FALSE)</f>
        <v>Moderado</v>
      </c>
      <c r="S84" s="27">
        <f>+VLOOKUP(Q84,Impacto!$B$5:$D$9,3,FALSE)</f>
        <v>0.6</v>
      </c>
      <c r="T84" s="27">
        <f t="shared" si="54"/>
        <v>0.24</v>
      </c>
      <c r="U84" s="340" t="str">
        <f t="shared" si="51"/>
        <v>Moderado</v>
      </c>
      <c r="V84" s="40">
        <v>1</v>
      </c>
      <c r="W84" s="38" t="s">
        <v>993</v>
      </c>
      <c r="X84" s="35" t="str">
        <f t="shared" si="55"/>
        <v>Probabilidad</v>
      </c>
      <c r="Y84" s="42" t="s">
        <v>755</v>
      </c>
      <c r="Z84" s="42" t="s">
        <v>756</v>
      </c>
      <c r="AA84" s="43" t="str">
        <f t="shared" si="56"/>
        <v>40%</v>
      </c>
      <c r="AB84" s="42" t="s">
        <v>738</v>
      </c>
      <c r="AC84" s="42" t="s">
        <v>757</v>
      </c>
      <c r="AD84" s="42" t="s">
        <v>758</v>
      </c>
      <c r="AE84" s="38" t="s">
        <v>1458</v>
      </c>
      <c r="AF84" s="27">
        <f t="shared" si="57"/>
        <v>0.24</v>
      </c>
      <c r="AG84" s="37" t="str">
        <f t="shared" si="43"/>
        <v>Baja</v>
      </c>
      <c r="AH84" s="27">
        <f t="shared" si="58"/>
        <v>0.6</v>
      </c>
      <c r="AI84" s="37" t="str">
        <f t="shared" si="45"/>
        <v>Moderado</v>
      </c>
      <c r="AJ84" s="36">
        <f t="shared" si="46"/>
        <v>0.14399999999999999</v>
      </c>
      <c r="AK84" s="340" t="str">
        <f t="shared" si="52"/>
        <v>Moderado</v>
      </c>
      <c r="AL84" s="37" t="str">
        <f t="shared" si="59"/>
        <v>Moderado</v>
      </c>
      <c r="AM84" s="26" t="s">
        <v>759</v>
      </c>
      <c r="AN84" s="354"/>
      <c r="AO84" s="354"/>
      <c r="AP84" s="354"/>
      <c r="AQ84" s="354"/>
      <c r="AR84" s="354"/>
      <c r="AS84" s="354"/>
    </row>
    <row r="85" spans="2:45" ht="129" customHeight="1" x14ac:dyDescent="0.25">
      <c r="B85" s="28" t="s">
        <v>967</v>
      </c>
      <c r="C85" s="28" t="s">
        <v>968</v>
      </c>
      <c r="D85" s="39" t="s">
        <v>994</v>
      </c>
      <c r="E85" s="38" t="s">
        <v>995</v>
      </c>
      <c r="F85" s="38" t="s">
        <v>1376</v>
      </c>
      <c r="G85" s="39" t="s">
        <v>1457</v>
      </c>
      <c r="H85" s="28" t="s">
        <v>747</v>
      </c>
      <c r="I85" s="28" t="s">
        <v>748</v>
      </c>
      <c r="J85" s="28" t="s">
        <v>784</v>
      </c>
      <c r="K85" s="26" t="s">
        <v>750</v>
      </c>
      <c r="L85" s="38" t="s">
        <v>785</v>
      </c>
      <c r="M85" s="40" t="s">
        <v>752</v>
      </c>
      <c r="N85" s="41">
        <v>364</v>
      </c>
      <c r="O85" s="368" t="str">
        <f t="shared" si="53"/>
        <v>Media</v>
      </c>
      <c r="P85" s="27">
        <f>+VLOOKUP(O85,Probabilidad!$B$5:$C$9,2,FALSE)</f>
        <v>0.6</v>
      </c>
      <c r="Q85" s="28" t="s">
        <v>770</v>
      </c>
      <c r="R85" s="369" t="str">
        <f>+VLOOKUP(Q85,Impacto!$B$5:$D$9,2,FALSE)</f>
        <v>Moderado</v>
      </c>
      <c r="S85" s="27">
        <f>+VLOOKUP(Q85,Impacto!$B$5:$D$9,3,FALSE)</f>
        <v>0.6</v>
      </c>
      <c r="T85" s="27">
        <f t="shared" si="54"/>
        <v>0.36</v>
      </c>
      <c r="U85" s="340" t="str">
        <f t="shared" si="51"/>
        <v>Moderado</v>
      </c>
      <c r="V85" s="40">
        <v>1</v>
      </c>
      <c r="W85" s="38" t="s">
        <v>996</v>
      </c>
      <c r="X85" s="35" t="str">
        <f t="shared" si="55"/>
        <v>Probabilidad</v>
      </c>
      <c r="Y85" s="42" t="s">
        <v>755</v>
      </c>
      <c r="Z85" s="42" t="s">
        <v>756</v>
      </c>
      <c r="AA85" s="43" t="str">
        <f t="shared" si="56"/>
        <v>40%</v>
      </c>
      <c r="AB85" s="42" t="s">
        <v>738</v>
      </c>
      <c r="AC85" s="42" t="s">
        <v>757</v>
      </c>
      <c r="AD85" s="42" t="s">
        <v>758</v>
      </c>
      <c r="AE85" s="38" t="s">
        <v>997</v>
      </c>
      <c r="AF85" s="27">
        <f t="shared" si="57"/>
        <v>0.36</v>
      </c>
      <c r="AG85" s="37" t="str">
        <f t="shared" si="43"/>
        <v>Baja</v>
      </c>
      <c r="AH85" s="27">
        <f t="shared" si="58"/>
        <v>0.6</v>
      </c>
      <c r="AI85" s="37" t="str">
        <f t="shared" si="45"/>
        <v>Moderado</v>
      </c>
      <c r="AJ85" s="36">
        <f t="shared" si="46"/>
        <v>0.216</v>
      </c>
      <c r="AK85" s="340" t="str">
        <f t="shared" si="52"/>
        <v>Moderado</v>
      </c>
      <c r="AL85" s="37" t="str">
        <f t="shared" si="59"/>
        <v>Moderado</v>
      </c>
      <c r="AM85" s="26" t="s">
        <v>759</v>
      </c>
      <c r="AN85" s="354"/>
      <c r="AO85" s="354"/>
      <c r="AP85" s="354"/>
      <c r="AQ85" s="354"/>
      <c r="AR85" s="354"/>
      <c r="AS85" s="354"/>
    </row>
    <row r="86" spans="2:45" ht="95.25" customHeight="1" x14ac:dyDescent="0.25">
      <c r="B86" s="28" t="s">
        <v>998</v>
      </c>
      <c r="C86" s="28" t="s">
        <v>999</v>
      </c>
      <c r="D86" s="38" t="s">
        <v>1000</v>
      </c>
      <c r="E86" s="38" t="s">
        <v>1374</v>
      </c>
      <c r="F86" s="38" t="s">
        <v>1377</v>
      </c>
      <c r="G86" s="39" t="s">
        <v>1001</v>
      </c>
      <c r="H86" s="28" t="s">
        <v>747</v>
      </c>
      <c r="I86" s="28" t="s">
        <v>748</v>
      </c>
      <c r="J86" s="28" t="s">
        <v>749</v>
      </c>
      <c r="K86" s="26" t="s">
        <v>750</v>
      </c>
      <c r="L86" s="38" t="s">
        <v>751</v>
      </c>
      <c r="M86" s="40" t="s">
        <v>752</v>
      </c>
      <c r="N86" s="41">
        <v>137000</v>
      </c>
      <c r="O86" s="368" t="str">
        <f t="shared" si="53"/>
        <v>Muy Alta</v>
      </c>
      <c r="P86" s="27">
        <f>+VLOOKUP(O86,Probabilidad!$B$5:$C$9,2,FALSE)</f>
        <v>1</v>
      </c>
      <c r="Q86" s="28" t="s">
        <v>753</v>
      </c>
      <c r="R86" s="369" t="str">
        <f>+VLOOKUP(Q86,Impacto!$B$5:$D$9,2,FALSE)</f>
        <v>Mayor</v>
      </c>
      <c r="S86" s="27">
        <f>+VLOOKUP(Q86,Impacto!$B$5:$D$9,3,FALSE)</f>
        <v>0.8</v>
      </c>
      <c r="T86" s="27">
        <f t="shared" si="54"/>
        <v>0.8</v>
      </c>
      <c r="U86" s="340" t="str">
        <f t="shared" si="51"/>
        <v>Extremo</v>
      </c>
      <c r="V86" s="40">
        <v>1</v>
      </c>
      <c r="W86" s="38" t="s">
        <v>1378</v>
      </c>
      <c r="X86" s="35" t="str">
        <f t="shared" si="55"/>
        <v>Probabilidad</v>
      </c>
      <c r="Y86" s="42" t="s">
        <v>755</v>
      </c>
      <c r="Z86" s="42" t="s">
        <v>756</v>
      </c>
      <c r="AA86" s="43" t="str">
        <f t="shared" si="56"/>
        <v>40%</v>
      </c>
      <c r="AB86" s="42" t="s">
        <v>1002</v>
      </c>
      <c r="AC86" s="42" t="s">
        <v>757</v>
      </c>
      <c r="AD86" s="42" t="s">
        <v>758</v>
      </c>
      <c r="AE86" s="38" t="s">
        <v>1003</v>
      </c>
      <c r="AF86" s="27">
        <f t="shared" si="57"/>
        <v>0.6</v>
      </c>
      <c r="AG86" s="37" t="str">
        <f t="shared" si="43"/>
        <v>Media</v>
      </c>
      <c r="AH86" s="27">
        <f t="shared" si="58"/>
        <v>0.8</v>
      </c>
      <c r="AI86" s="37" t="str">
        <f t="shared" si="45"/>
        <v>Mayor</v>
      </c>
      <c r="AJ86" s="36">
        <f t="shared" si="46"/>
        <v>0.48</v>
      </c>
      <c r="AK86" s="340" t="str">
        <f t="shared" si="52"/>
        <v>Alto</v>
      </c>
      <c r="AL86" s="37" t="str">
        <f t="shared" si="59"/>
        <v>Alto</v>
      </c>
      <c r="AM86" s="26" t="s">
        <v>759</v>
      </c>
      <c r="AN86" s="39" t="s">
        <v>1572</v>
      </c>
      <c r="AO86" s="39" t="s">
        <v>1573</v>
      </c>
      <c r="AP86" s="335" t="s">
        <v>928</v>
      </c>
      <c r="AQ86" s="347" t="s">
        <v>762</v>
      </c>
      <c r="AR86" s="39" t="s">
        <v>1574</v>
      </c>
      <c r="AS86" s="41" t="s">
        <v>764</v>
      </c>
    </row>
    <row r="87" spans="2:45" ht="135" customHeight="1" x14ac:dyDescent="0.25">
      <c r="B87" s="28" t="s">
        <v>998</v>
      </c>
      <c r="C87" s="28" t="s">
        <v>999</v>
      </c>
      <c r="D87" s="38" t="s">
        <v>1004</v>
      </c>
      <c r="E87" s="39" t="s">
        <v>1005</v>
      </c>
      <c r="F87" s="38" t="s">
        <v>1379</v>
      </c>
      <c r="G87" s="39" t="s">
        <v>1001</v>
      </c>
      <c r="H87" s="28" t="s">
        <v>747</v>
      </c>
      <c r="I87" s="28" t="s">
        <v>748</v>
      </c>
      <c r="J87" s="28" t="s">
        <v>784</v>
      </c>
      <c r="K87" s="26" t="s">
        <v>750</v>
      </c>
      <c r="L87" s="38" t="s">
        <v>751</v>
      </c>
      <c r="M87" s="40" t="s">
        <v>752</v>
      </c>
      <c r="N87" s="41">
        <v>137000</v>
      </c>
      <c r="O87" s="368" t="str">
        <f t="shared" si="53"/>
        <v>Muy Alta</v>
      </c>
      <c r="P87" s="27">
        <f>+VLOOKUP(O87,Probabilidad!$B$5:$C$9,2,FALSE)</f>
        <v>1</v>
      </c>
      <c r="Q87" s="28" t="s">
        <v>753</v>
      </c>
      <c r="R87" s="369" t="str">
        <f>+VLOOKUP(Q87,Impacto!$B$5:$D$9,2,FALSE)</f>
        <v>Mayor</v>
      </c>
      <c r="S87" s="27">
        <f>+VLOOKUP(Q87,Impacto!$B$5:$D$9,3,FALSE)</f>
        <v>0.8</v>
      </c>
      <c r="T87" s="27">
        <f t="shared" si="54"/>
        <v>0.8</v>
      </c>
      <c r="U87" s="340" t="str">
        <f t="shared" si="51"/>
        <v>Extremo</v>
      </c>
      <c r="V87" s="40">
        <v>1</v>
      </c>
      <c r="W87" s="734" t="s">
        <v>1581</v>
      </c>
      <c r="X87" s="35" t="str">
        <f t="shared" si="55"/>
        <v>Probabilidad</v>
      </c>
      <c r="Y87" s="42" t="s">
        <v>755</v>
      </c>
      <c r="Z87" s="42" t="s">
        <v>756</v>
      </c>
      <c r="AA87" s="43" t="str">
        <f t="shared" si="56"/>
        <v>40%</v>
      </c>
      <c r="AB87" s="42" t="s">
        <v>1002</v>
      </c>
      <c r="AC87" s="42" t="s">
        <v>757</v>
      </c>
      <c r="AD87" s="42" t="s">
        <v>758</v>
      </c>
      <c r="AE87" s="38" t="s">
        <v>1006</v>
      </c>
      <c r="AF87" s="27">
        <f t="shared" si="57"/>
        <v>0.6</v>
      </c>
      <c r="AG87" s="37" t="str">
        <f t="shared" si="43"/>
        <v>Media</v>
      </c>
      <c r="AH87" s="27">
        <f t="shared" si="58"/>
        <v>0.8</v>
      </c>
      <c r="AI87" s="37" t="str">
        <f t="shared" si="45"/>
        <v>Mayor</v>
      </c>
      <c r="AJ87" s="36">
        <f t="shared" si="46"/>
        <v>0.48</v>
      </c>
      <c r="AK87" s="340" t="str">
        <f t="shared" si="52"/>
        <v>Alto</v>
      </c>
      <c r="AL87" s="37" t="str">
        <f t="shared" si="59"/>
        <v>Alto</v>
      </c>
      <c r="AM87" s="26" t="s">
        <v>759</v>
      </c>
      <c r="AN87" s="354"/>
      <c r="AO87" s="354"/>
      <c r="AP87" s="354"/>
      <c r="AQ87" s="354"/>
      <c r="AR87" s="354"/>
      <c r="AS87" s="354"/>
    </row>
    <row r="88" spans="2:45" ht="116.25" customHeight="1" x14ac:dyDescent="0.25">
      <c r="B88" s="28" t="s">
        <v>998</v>
      </c>
      <c r="C88" s="28" t="s">
        <v>999</v>
      </c>
      <c r="D88" s="38" t="s">
        <v>1007</v>
      </c>
      <c r="E88" s="39" t="s">
        <v>1008</v>
      </c>
      <c r="F88" s="38" t="s">
        <v>1379</v>
      </c>
      <c r="G88" s="39" t="s">
        <v>1001</v>
      </c>
      <c r="H88" s="28" t="s">
        <v>747</v>
      </c>
      <c r="I88" s="28" t="s">
        <v>748</v>
      </c>
      <c r="J88" s="28" t="s">
        <v>784</v>
      </c>
      <c r="K88" s="26" t="s">
        <v>750</v>
      </c>
      <c r="L88" s="38" t="s">
        <v>751</v>
      </c>
      <c r="M88" s="40" t="s">
        <v>752</v>
      </c>
      <c r="N88" s="41">
        <v>137000</v>
      </c>
      <c r="O88" s="368" t="str">
        <f t="shared" si="53"/>
        <v>Muy Alta</v>
      </c>
      <c r="P88" s="27">
        <f>+VLOOKUP(O88,Probabilidad!$B$5:$C$9,2,FALSE)</f>
        <v>1</v>
      </c>
      <c r="Q88" s="28" t="s">
        <v>753</v>
      </c>
      <c r="R88" s="369" t="str">
        <f>+VLOOKUP(Q88,Impacto!$B$5:$D$9,2,FALSE)</f>
        <v>Mayor</v>
      </c>
      <c r="S88" s="27">
        <f>+VLOOKUP(Q88,Impacto!$B$5:$D$9,3,FALSE)</f>
        <v>0.8</v>
      </c>
      <c r="T88" s="27">
        <f t="shared" si="54"/>
        <v>0.8</v>
      </c>
      <c r="U88" s="340" t="str">
        <f t="shared" si="51"/>
        <v>Extremo</v>
      </c>
      <c r="V88" s="40">
        <v>1</v>
      </c>
      <c r="W88" s="38" t="s">
        <v>1581</v>
      </c>
      <c r="X88" s="35" t="str">
        <f t="shared" si="55"/>
        <v>Probabilidad</v>
      </c>
      <c r="Y88" s="42" t="s">
        <v>755</v>
      </c>
      <c r="Z88" s="42" t="s">
        <v>756</v>
      </c>
      <c r="AA88" s="43" t="str">
        <f t="shared" si="56"/>
        <v>40%</v>
      </c>
      <c r="AB88" s="42" t="s">
        <v>1002</v>
      </c>
      <c r="AC88" s="42" t="s">
        <v>757</v>
      </c>
      <c r="AD88" s="42" t="s">
        <v>758</v>
      </c>
      <c r="AE88" s="38" t="s">
        <v>1006</v>
      </c>
      <c r="AF88" s="27">
        <f t="shared" si="57"/>
        <v>0.6</v>
      </c>
      <c r="AG88" s="37" t="str">
        <f t="shared" si="43"/>
        <v>Media</v>
      </c>
      <c r="AH88" s="27">
        <f t="shared" si="58"/>
        <v>0.8</v>
      </c>
      <c r="AI88" s="37" t="str">
        <f t="shared" si="45"/>
        <v>Mayor</v>
      </c>
      <c r="AJ88" s="36">
        <f t="shared" si="46"/>
        <v>0.48</v>
      </c>
      <c r="AK88" s="340" t="str">
        <f t="shared" si="52"/>
        <v>Alto</v>
      </c>
      <c r="AL88" s="37" t="str">
        <f t="shared" si="59"/>
        <v>Alto</v>
      </c>
      <c r="AM88" s="26" t="s">
        <v>759</v>
      </c>
      <c r="AN88" s="354"/>
      <c r="AO88" s="354"/>
      <c r="AP88" s="354"/>
      <c r="AQ88" s="354"/>
      <c r="AR88" s="354"/>
      <c r="AS88" s="354"/>
    </row>
    <row r="89" spans="2:45" ht="84" customHeight="1" x14ac:dyDescent="0.25">
      <c r="B89" s="28" t="s">
        <v>998</v>
      </c>
      <c r="C89" s="28" t="s">
        <v>999</v>
      </c>
      <c r="D89" s="38" t="s">
        <v>1009</v>
      </c>
      <c r="E89" s="39" t="s">
        <v>782</v>
      </c>
      <c r="F89" s="38" t="s">
        <v>1380</v>
      </c>
      <c r="G89" s="39" t="s">
        <v>783</v>
      </c>
      <c r="H89" s="28" t="s">
        <v>747</v>
      </c>
      <c r="I89" s="28" t="s">
        <v>748</v>
      </c>
      <c r="J89" s="28" t="s">
        <v>784</v>
      </c>
      <c r="K89" s="26" t="s">
        <v>750</v>
      </c>
      <c r="L89" s="38" t="s">
        <v>785</v>
      </c>
      <c r="M89" s="40" t="s">
        <v>752</v>
      </c>
      <c r="N89" s="41">
        <v>5</v>
      </c>
      <c r="O89" s="368" t="str">
        <f t="shared" si="53"/>
        <v>Baja</v>
      </c>
      <c r="P89" s="27">
        <f>+VLOOKUP(O89,Probabilidad!$B$5:$C$9,2,FALSE)</f>
        <v>0.4</v>
      </c>
      <c r="Q89" s="28" t="s">
        <v>786</v>
      </c>
      <c r="R89" s="369" t="str">
        <f>+VLOOKUP(Q89,Impacto!$B$5:$D$9,2,FALSE)</f>
        <v>Leve</v>
      </c>
      <c r="S89" s="27">
        <f>+VLOOKUP(Q89,Impacto!$B$5:$D$9,3,FALSE)</f>
        <v>0.2</v>
      </c>
      <c r="T89" s="27">
        <f t="shared" si="54"/>
        <v>8.0000000000000016E-2</v>
      </c>
      <c r="U89" s="340" t="str">
        <f t="shared" si="51"/>
        <v>Bajo</v>
      </c>
      <c r="V89" s="40">
        <v>1</v>
      </c>
      <c r="W89" s="38" t="s">
        <v>1010</v>
      </c>
      <c r="X89" s="35" t="str">
        <f t="shared" si="55"/>
        <v>Probabilidad</v>
      </c>
      <c r="Y89" s="42" t="s">
        <v>755</v>
      </c>
      <c r="Z89" s="42" t="s">
        <v>756</v>
      </c>
      <c r="AA89" s="43" t="str">
        <f t="shared" si="56"/>
        <v>40%</v>
      </c>
      <c r="AB89" s="42" t="s">
        <v>738</v>
      </c>
      <c r="AC89" s="42" t="s">
        <v>757</v>
      </c>
      <c r="AD89" s="42" t="s">
        <v>758</v>
      </c>
      <c r="AE89" s="38" t="s">
        <v>1432</v>
      </c>
      <c r="AF89" s="27">
        <f t="shared" si="57"/>
        <v>0.24</v>
      </c>
      <c r="AG89" s="37" t="str">
        <f t="shared" si="43"/>
        <v>Baja</v>
      </c>
      <c r="AH89" s="27">
        <f t="shared" si="58"/>
        <v>0.2</v>
      </c>
      <c r="AI89" s="37" t="str">
        <f t="shared" si="45"/>
        <v>Leve</v>
      </c>
      <c r="AJ89" s="36">
        <f t="shared" si="46"/>
        <v>4.8000000000000001E-2</v>
      </c>
      <c r="AK89" s="340" t="str">
        <f t="shared" si="52"/>
        <v>Bajo</v>
      </c>
      <c r="AL89" s="37" t="str">
        <f t="shared" si="59"/>
        <v>Bajo</v>
      </c>
      <c r="AM89" s="26" t="s">
        <v>759</v>
      </c>
      <c r="AN89" s="354"/>
      <c r="AO89" s="354"/>
      <c r="AP89" s="354"/>
      <c r="AQ89" s="354"/>
      <c r="AR89" s="354"/>
      <c r="AS89" s="354"/>
    </row>
    <row r="90" spans="2:45" ht="88.5" customHeight="1" x14ac:dyDescent="0.25">
      <c r="B90" s="28" t="s">
        <v>998</v>
      </c>
      <c r="C90" s="28" t="s">
        <v>1011</v>
      </c>
      <c r="D90" s="38" t="s">
        <v>1012</v>
      </c>
      <c r="E90" s="38" t="s">
        <v>1013</v>
      </c>
      <c r="F90" s="39" t="s">
        <v>1381</v>
      </c>
      <c r="G90" s="39" t="s">
        <v>1459</v>
      </c>
      <c r="H90" s="28" t="s">
        <v>747</v>
      </c>
      <c r="I90" s="28" t="s">
        <v>748</v>
      </c>
      <c r="J90" s="28" t="s">
        <v>778</v>
      </c>
      <c r="K90" s="26" t="s">
        <v>779</v>
      </c>
      <c r="L90" s="39" t="s">
        <v>992</v>
      </c>
      <c r="M90" s="40" t="s">
        <v>752</v>
      </c>
      <c r="N90" s="41">
        <v>400</v>
      </c>
      <c r="O90" s="368" t="str">
        <f t="shared" si="53"/>
        <v>Media</v>
      </c>
      <c r="P90" s="27">
        <f>+VLOOKUP(O90,Probabilidad!$B$5:$C$9,2,FALSE)</f>
        <v>0.6</v>
      </c>
      <c r="Q90" s="28" t="s">
        <v>770</v>
      </c>
      <c r="R90" s="369" t="str">
        <f>+VLOOKUP(Q90,Impacto!$B$5:$D$9,2,FALSE)</f>
        <v>Moderado</v>
      </c>
      <c r="S90" s="27">
        <f>+VLOOKUP(Q90,Impacto!$B$5:$D$9,3,FALSE)</f>
        <v>0.6</v>
      </c>
      <c r="T90" s="27">
        <f t="shared" si="54"/>
        <v>0.36</v>
      </c>
      <c r="U90" s="340" t="str">
        <f t="shared" si="51"/>
        <v>Moderado</v>
      </c>
      <c r="V90" s="40">
        <v>1</v>
      </c>
      <c r="W90" s="411" t="s">
        <v>1014</v>
      </c>
      <c r="X90" s="35" t="str">
        <f t="shared" si="55"/>
        <v>Probabilidad</v>
      </c>
      <c r="Y90" s="42" t="s">
        <v>1256</v>
      </c>
      <c r="Z90" s="42" t="s">
        <v>756</v>
      </c>
      <c r="AA90" s="43" t="str">
        <f t="shared" si="56"/>
        <v>30%</v>
      </c>
      <c r="AB90" s="42" t="s">
        <v>738</v>
      </c>
      <c r="AC90" s="42" t="s">
        <v>757</v>
      </c>
      <c r="AD90" s="42" t="s">
        <v>758</v>
      </c>
      <c r="AE90" s="410" t="s">
        <v>1015</v>
      </c>
      <c r="AF90" s="27">
        <f t="shared" si="57"/>
        <v>0.42</v>
      </c>
      <c r="AG90" s="37" t="str">
        <f t="shared" si="43"/>
        <v>Media</v>
      </c>
      <c r="AH90" s="27">
        <f t="shared" si="58"/>
        <v>0.6</v>
      </c>
      <c r="AI90" s="37" t="str">
        <f t="shared" si="45"/>
        <v>Moderado</v>
      </c>
      <c r="AJ90" s="36">
        <f t="shared" si="46"/>
        <v>0.252</v>
      </c>
      <c r="AK90" s="340" t="str">
        <f t="shared" si="52"/>
        <v>Moderado</v>
      </c>
      <c r="AL90" s="37" t="str">
        <f t="shared" ref="AL90:AL156" si="60">+AK90</f>
        <v>Moderado</v>
      </c>
      <c r="AM90" s="26" t="s">
        <v>759</v>
      </c>
      <c r="AN90" s="39" t="s">
        <v>1576</v>
      </c>
      <c r="AO90" s="39" t="s">
        <v>1577</v>
      </c>
      <c r="AP90" s="39" t="s">
        <v>928</v>
      </c>
      <c r="AQ90" s="40" t="s">
        <v>1578</v>
      </c>
      <c r="AR90" s="39" t="s">
        <v>1579</v>
      </c>
      <c r="AS90" s="38" t="s">
        <v>764</v>
      </c>
    </row>
    <row r="91" spans="2:45" ht="63.75" x14ac:dyDescent="0.25">
      <c r="B91" s="28" t="s">
        <v>998</v>
      </c>
      <c r="C91" s="28" t="s">
        <v>1575</v>
      </c>
      <c r="D91" s="38" t="s">
        <v>1016</v>
      </c>
      <c r="E91" s="38" t="s">
        <v>990</v>
      </c>
      <c r="F91" s="38" t="s">
        <v>1424</v>
      </c>
      <c r="G91" s="39" t="s">
        <v>1456</v>
      </c>
      <c r="H91" s="28" t="s">
        <v>991</v>
      </c>
      <c r="I91" s="28" t="s">
        <v>748</v>
      </c>
      <c r="J91" s="28" t="s">
        <v>791</v>
      </c>
      <c r="K91" s="26" t="s">
        <v>750</v>
      </c>
      <c r="L91" s="39" t="s">
        <v>992</v>
      </c>
      <c r="M91" s="40" t="s">
        <v>752</v>
      </c>
      <c r="N91" s="41">
        <v>2</v>
      </c>
      <c r="O91" s="368" t="str">
        <f t="shared" si="53"/>
        <v>Muy Baja</v>
      </c>
      <c r="P91" s="27">
        <f>+VLOOKUP(O91,Probabilidad!$B$5:$C$9,2,FALSE)</f>
        <v>0.2</v>
      </c>
      <c r="Q91" s="28" t="s">
        <v>770</v>
      </c>
      <c r="R91" s="369" t="str">
        <f>+VLOOKUP(Q91,Impacto!$B$5:$D$9,2,FALSE)</f>
        <v>Moderado</v>
      </c>
      <c r="S91" s="27">
        <f>+VLOOKUP(Q91,Impacto!$B$5:$D$9,3,FALSE)</f>
        <v>0.6</v>
      </c>
      <c r="T91" s="27">
        <f t="shared" si="54"/>
        <v>0.12</v>
      </c>
      <c r="U91" s="340" t="str">
        <f t="shared" si="51"/>
        <v>Moderado</v>
      </c>
      <c r="V91" s="40">
        <v>1</v>
      </c>
      <c r="W91" s="38" t="s">
        <v>1017</v>
      </c>
      <c r="X91" s="35" t="str">
        <f t="shared" si="55"/>
        <v>Probabilidad</v>
      </c>
      <c r="Y91" s="42" t="s">
        <v>755</v>
      </c>
      <c r="Z91" s="42" t="s">
        <v>756</v>
      </c>
      <c r="AA91" s="43" t="str">
        <f t="shared" si="56"/>
        <v>40%</v>
      </c>
      <c r="AB91" s="42" t="s">
        <v>738</v>
      </c>
      <c r="AC91" s="42" t="s">
        <v>757</v>
      </c>
      <c r="AD91" s="42" t="s">
        <v>758</v>
      </c>
      <c r="AE91" s="38" t="s">
        <v>1458</v>
      </c>
      <c r="AF91" s="27">
        <f t="shared" si="57"/>
        <v>0.12</v>
      </c>
      <c r="AG91" s="37" t="str">
        <f t="shared" si="43"/>
        <v>Muy Baja</v>
      </c>
      <c r="AH91" s="27">
        <f t="shared" si="58"/>
        <v>0.6</v>
      </c>
      <c r="AI91" s="37" t="str">
        <f t="shared" si="45"/>
        <v>Moderado</v>
      </c>
      <c r="AJ91" s="36">
        <f t="shared" si="46"/>
        <v>7.1999999999999995E-2</v>
      </c>
      <c r="AK91" s="340" t="str">
        <f t="shared" si="52"/>
        <v>Bajo</v>
      </c>
      <c r="AL91" s="37" t="str">
        <f t="shared" si="60"/>
        <v>Bajo</v>
      </c>
      <c r="AM91" s="26" t="s">
        <v>759</v>
      </c>
      <c r="AN91" s="354"/>
      <c r="AO91" s="354"/>
      <c r="AP91" s="354"/>
      <c r="AQ91" s="354"/>
      <c r="AR91" s="354"/>
      <c r="AS91" s="354"/>
    </row>
    <row r="92" spans="2:45" ht="149.25" customHeight="1" x14ac:dyDescent="0.25">
      <c r="B92" s="28" t="s">
        <v>1018</v>
      </c>
      <c r="C92" s="28" t="s">
        <v>1018</v>
      </c>
      <c r="D92" s="40" t="s">
        <v>1019</v>
      </c>
      <c r="E92" s="38" t="s">
        <v>1694</v>
      </c>
      <c r="F92" s="38" t="s">
        <v>1382</v>
      </c>
      <c r="G92" s="39" t="s">
        <v>1020</v>
      </c>
      <c r="H92" s="28" t="s">
        <v>747</v>
      </c>
      <c r="I92" s="28" t="s">
        <v>748</v>
      </c>
      <c r="J92" s="28" t="s">
        <v>749</v>
      </c>
      <c r="K92" s="26" t="s">
        <v>750</v>
      </c>
      <c r="L92" s="38" t="s">
        <v>751</v>
      </c>
      <c r="M92" s="40" t="s">
        <v>752</v>
      </c>
      <c r="N92" s="41">
        <v>364</v>
      </c>
      <c r="O92" s="368" t="str">
        <f t="shared" si="53"/>
        <v>Media</v>
      </c>
      <c r="P92" s="27">
        <f>+VLOOKUP(O92,Probabilidad!$B$5:$C$9,2,FALSE)</f>
        <v>0.6</v>
      </c>
      <c r="Q92" s="28" t="s">
        <v>770</v>
      </c>
      <c r="R92" s="369" t="str">
        <f>+VLOOKUP(Q92,Impacto!$B$5:$D$9,2,FALSE)</f>
        <v>Moderado</v>
      </c>
      <c r="S92" s="27">
        <f>+VLOOKUP(Q92,Impacto!$B$5:$D$9,3,FALSE)</f>
        <v>0.6</v>
      </c>
      <c r="T92" s="27">
        <f t="shared" si="54"/>
        <v>0.36</v>
      </c>
      <c r="U92" s="340" t="str">
        <f t="shared" si="51"/>
        <v>Moderado</v>
      </c>
      <c r="V92" s="40">
        <v>1</v>
      </c>
      <c r="W92" s="734" t="s">
        <v>1729</v>
      </c>
      <c r="X92" s="735" t="str">
        <f t="shared" si="55"/>
        <v>Probabilidad</v>
      </c>
      <c r="Y92" s="736" t="s">
        <v>755</v>
      </c>
      <c r="Z92" s="736" t="s">
        <v>756</v>
      </c>
      <c r="AA92" s="737" t="str">
        <f t="shared" si="56"/>
        <v>40%</v>
      </c>
      <c r="AB92" s="736" t="s">
        <v>738</v>
      </c>
      <c r="AC92" s="736" t="s">
        <v>757</v>
      </c>
      <c r="AD92" s="736" t="s">
        <v>758</v>
      </c>
      <c r="AE92" s="734" t="s">
        <v>1730</v>
      </c>
      <c r="AF92" s="27">
        <f t="shared" si="57"/>
        <v>0.36</v>
      </c>
      <c r="AG92" s="37" t="str">
        <f t="shared" si="43"/>
        <v>Baja</v>
      </c>
      <c r="AH92" s="27">
        <f t="shared" si="58"/>
        <v>0.6</v>
      </c>
      <c r="AI92" s="37" t="str">
        <f t="shared" si="45"/>
        <v>Moderado</v>
      </c>
      <c r="AJ92" s="36">
        <f t="shared" si="46"/>
        <v>0.216</v>
      </c>
      <c r="AK92" s="340" t="str">
        <f t="shared" si="52"/>
        <v>Moderado</v>
      </c>
      <c r="AL92" s="37" t="str">
        <f t="shared" si="60"/>
        <v>Moderado</v>
      </c>
      <c r="AM92" s="26" t="s">
        <v>759</v>
      </c>
      <c r="AN92" s="354"/>
      <c r="AO92" s="354"/>
      <c r="AP92" s="354"/>
      <c r="AQ92" s="354"/>
      <c r="AR92" s="354"/>
      <c r="AS92" s="354"/>
    </row>
    <row r="93" spans="2:45" ht="122.25" customHeight="1" x14ac:dyDescent="0.25">
      <c r="B93" s="28" t="s">
        <v>1018</v>
      </c>
      <c r="C93" s="28" t="s">
        <v>1018</v>
      </c>
      <c r="D93" s="40" t="s">
        <v>1021</v>
      </c>
      <c r="E93" s="38" t="s">
        <v>1668</v>
      </c>
      <c r="F93" s="38" t="s">
        <v>1383</v>
      </c>
      <c r="G93" s="39" t="s">
        <v>1022</v>
      </c>
      <c r="H93" s="28" t="s">
        <v>747</v>
      </c>
      <c r="I93" s="28" t="s">
        <v>748</v>
      </c>
      <c r="J93" s="28" t="s">
        <v>749</v>
      </c>
      <c r="K93" s="26" t="s">
        <v>750</v>
      </c>
      <c r="L93" s="38" t="s">
        <v>751</v>
      </c>
      <c r="M93" s="40" t="s">
        <v>752</v>
      </c>
      <c r="N93" s="41">
        <v>364</v>
      </c>
      <c r="O93" s="368" t="str">
        <f t="shared" si="53"/>
        <v>Media</v>
      </c>
      <c r="P93" s="27">
        <f>+VLOOKUP(O93,Probabilidad!$B$5:$C$9,2,FALSE)</f>
        <v>0.6</v>
      </c>
      <c r="Q93" s="28" t="s">
        <v>770</v>
      </c>
      <c r="R93" s="369" t="str">
        <f>+VLOOKUP(Q93,Impacto!$B$5:$D$9,2,FALSE)</f>
        <v>Moderado</v>
      </c>
      <c r="S93" s="27">
        <f>+VLOOKUP(Q93,Impacto!$B$5:$D$9,3,FALSE)</f>
        <v>0.6</v>
      </c>
      <c r="T93" s="27">
        <f t="shared" si="54"/>
        <v>0.36</v>
      </c>
      <c r="U93" s="340" t="str">
        <f t="shared" si="51"/>
        <v>Moderado</v>
      </c>
      <c r="V93" s="40">
        <v>1</v>
      </c>
      <c r="W93" s="38" t="s">
        <v>1023</v>
      </c>
      <c r="X93" s="35" t="str">
        <f t="shared" si="55"/>
        <v>Probabilidad</v>
      </c>
      <c r="Y93" s="42" t="s">
        <v>755</v>
      </c>
      <c r="Z93" s="42" t="s">
        <v>756</v>
      </c>
      <c r="AA93" s="43" t="str">
        <f t="shared" si="56"/>
        <v>40%</v>
      </c>
      <c r="AB93" s="42" t="s">
        <v>738</v>
      </c>
      <c r="AC93" s="42" t="s">
        <v>757</v>
      </c>
      <c r="AD93" s="42" t="s">
        <v>758</v>
      </c>
      <c r="AE93" s="38" t="s">
        <v>1544</v>
      </c>
      <c r="AF93" s="27">
        <f t="shared" si="57"/>
        <v>0.36</v>
      </c>
      <c r="AG93" s="37" t="str">
        <f t="shared" si="43"/>
        <v>Baja</v>
      </c>
      <c r="AH93" s="27">
        <f t="shared" si="58"/>
        <v>0.6</v>
      </c>
      <c r="AI93" s="37" t="str">
        <f t="shared" si="45"/>
        <v>Moderado</v>
      </c>
      <c r="AJ93" s="36">
        <f t="shared" si="46"/>
        <v>0.216</v>
      </c>
      <c r="AK93" s="340" t="str">
        <f t="shared" si="52"/>
        <v>Moderado</v>
      </c>
      <c r="AL93" s="37" t="str">
        <f t="shared" si="60"/>
        <v>Moderado</v>
      </c>
      <c r="AM93" s="26" t="s">
        <v>759</v>
      </c>
      <c r="AN93" s="354"/>
      <c r="AO93" s="354"/>
      <c r="AP93" s="354"/>
      <c r="AQ93" s="354"/>
      <c r="AR93" s="354"/>
      <c r="AS93" s="354"/>
    </row>
    <row r="94" spans="2:45" ht="63.75" x14ac:dyDescent="0.25">
      <c r="B94" s="28" t="s">
        <v>1018</v>
      </c>
      <c r="C94" s="28" t="s">
        <v>1018</v>
      </c>
      <c r="D94" s="40" t="s">
        <v>1024</v>
      </c>
      <c r="E94" s="38" t="s">
        <v>782</v>
      </c>
      <c r="F94" s="38" t="s">
        <v>1369</v>
      </c>
      <c r="G94" s="39" t="s">
        <v>783</v>
      </c>
      <c r="H94" s="28" t="s">
        <v>747</v>
      </c>
      <c r="I94" s="28" t="s">
        <v>748</v>
      </c>
      <c r="J94" s="28" t="s">
        <v>784</v>
      </c>
      <c r="K94" s="26" t="s">
        <v>750</v>
      </c>
      <c r="L94" s="38" t="s">
        <v>785</v>
      </c>
      <c r="M94" s="40" t="s">
        <v>752</v>
      </c>
      <c r="N94" s="41">
        <v>364</v>
      </c>
      <c r="O94" s="368" t="str">
        <f t="shared" si="53"/>
        <v>Media</v>
      </c>
      <c r="P94" s="27">
        <f>+VLOOKUP(O94,Probabilidad!$B$5:$C$9,2,FALSE)</f>
        <v>0.6</v>
      </c>
      <c r="Q94" s="28" t="s">
        <v>770</v>
      </c>
      <c r="R94" s="369" t="str">
        <f>+VLOOKUP(Q94,Impacto!$B$5:$D$9,2,FALSE)</f>
        <v>Moderado</v>
      </c>
      <c r="S94" s="27">
        <f>+VLOOKUP(Q94,Impacto!$B$5:$D$9,3,FALSE)</f>
        <v>0.6</v>
      </c>
      <c r="T94" s="27">
        <f t="shared" si="54"/>
        <v>0.36</v>
      </c>
      <c r="U94" s="340" t="str">
        <f t="shared" si="51"/>
        <v>Moderado</v>
      </c>
      <c r="V94" s="40">
        <v>1</v>
      </c>
      <c r="W94" s="38" t="s">
        <v>1662</v>
      </c>
      <c r="X94" s="35" t="str">
        <f t="shared" si="55"/>
        <v>Probabilidad</v>
      </c>
      <c r="Y94" s="42" t="s">
        <v>755</v>
      </c>
      <c r="Z94" s="42" t="s">
        <v>756</v>
      </c>
      <c r="AA94" s="43" t="str">
        <f t="shared" si="56"/>
        <v>40%</v>
      </c>
      <c r="AB94" s="42" t="s">
        <v>738</v>
      </c>
      <c r="AC94" s="42" t="s">
        <v>757</v>
      </c>
      <c r="AD94" s="42" t="s">
        <v>758</v>
      </c>
      <c r="AE94" s="38" t="s">
        <v>1432</v>
      </c>
      <c r="AF94" s="27">
        <f t="shared" si="57"/>
        <v>0.36</v>
      </c>
      <c r="AG94" s="37" t="str">
        <f t="shared" si="43"/>
        <v>Baja</v>
      </c>
      <c r="AH94" s="27">
        <f t="shared" si="58"/>
        <v>0.6</v>
      </c>
      <c r="AI94" s="37" t="str">
        <f t="shared" si="45"/>
        <v>Moderado</v>
      </c>
      <c r="AJ94" s="36">
        <f t="shared" si="46"/>
        <v>0.216</v>
      </c>
      <c r="AK94" s="340" t="str">
        <f t="shared" si="52"/>
        <v>Moderado</v>
      </c>
      <c r="AL94" s="37" t="str">
        <f t="shared" si="60"/>
        <v>Moderado</v>
      </c>
      <c r="AM94" s="26" t="s">
        <v>759</v>
      </c>
      <c r="AN94" s="354"/>
      <c r="AO94" s="354"/>
      <c r="AP94" s="354"/>
      <c r="AQ94" s="354"/>
      <c r="AR94" s="354"/>
      <c r="AS94" s="354"/>
    </row>
    <row r="95" spans="2:45" ht="93.75" customHeight="1" x14ac:dyDescent="0.25">
      <c r="B95" s="554" t="s">
        <v>1025</v>
      </c>
      <c r="C95" s="554" t="s">
        <v>1026</v>
      </c>
      <c r="D95" s="560" t="s">
        <v>1029</v>
      </c>
      <c r="E95" s="560" t="s">
        <v>1591</v>
      </c>
      <c r="F95" s="560" t="s">
        <v>1385</v>
      </c>
      <c r="G95" s="558" t="s">
        <v>1386</v>
      </c>
      <c r="H95" s="554" t="s">
        <v>747</v>
      </c>
      <c r="I95" s="554" t="s">
        <v>748</v>
      </c>
      <c r="J95" s="554" t="s">
        <v>749</v>
      </c>
      <c r="K95" s="563" t="s">
        <v>750</v>
      </c>
      <c r="L95" s="560" t="s">
        <v>751</v>
      </c>
      <c r="M95" s="581" t="s">
        <v>752</v>
      </c>
      <c r="N95" s="578">
        <f>365*30</f>
        <v>10950</v>
      </c>
      <c r="O95" s="573" t="str">
        <f t="shared" ref="O95:O116" si="61">IF(N95&lt;=0,"",IF(N95&lt;=2,"Muy Baja",IF(N95&lt;=24,"Baja",IF(N95&lt;=500,"Media",IF(N95&lt;=5000,"Alta","Muy Alta")))))</f>
        <v>Muy Alta</v>
      </c>
      <c r="P95" s="570">
        <f>+VLOOKUP(O95,Probabilidad!$B$5:$C$9,2,FALSE)</f>
        <v>1</v>
      </c>
      <c r="Q95" s="554" t="s">
        <v>770</v>
      </c>
      <c r="R95" s="573" t="str">
        <f>+VLOOKUP(Q95,Impacto!$B$5:$D$9,2,FALSE)</f>
        <v>Moderado</v>
      </c>
      <c r="S95" s="570">
        <f>+VLOOKUP(Q95,Impacto!$B$5:$D$9,3,FALSE)</f>
        <v>0.6</v>
      </c>
      <c r="T95" s="570">
        <f t="shared" ref="T95:T116" si="62">+P95*S95</f>
        <v>0.6</v>
      </c>
      <c r="U95" s="567" t="str">
        <f t="shared" si="51"/>
        <v>Alto</v>
      </c>
      <c r="V95" s="40">
        <v>1</v>
      </c>
      <c r="W95" s="38" t="s">
        <v>1030</v>
      </c>
      <c r="X95" s="35" t="str">
        <f>IF(OR(Y95="Preventivo",Y95="Detectivo"),"Probabilidad",IF(Y95="Correctivo","Impacto",""))</f>
        <v>Probabilidad</v>
      </c>
      <c r="Y95" s="42" t="s">
        <v>755</v>
      </c>
      <c r="Z95" s="42" t="s">
        <v>756</v>
      </c>
      <c r="AA95" s="43" t="str">
        <f t="shared" ref="AA95:AA116" si="63">IF(AND(Y95="Preventivo",Z95="Automático"),"50%",IF(AND(Y95="Preventivo",Z95="Manual"),"40%",IF(AND(Y95="Detectivo",Z95="Automático"),"40%",IF(AND(Y95="Detectivo",Z95="Manual"),"30%",IF(AND(Y95="Correctivo",Z95="Automático"),"35%",IF(AND(Y95="Correctivo",Z95="Manual"),"25%",""))))))</f>
        <v>40%</v>
      </c>
      <c r="AB95" s="42" t="s">
        <v>1002</v>
      </c>
      <c r="AC95" s="42" t="s">
        <v>757</v>
      </c>
      <c r="AD95" s="42" t="s">
        <v>758</v>
      </c>
      <c r="AE95" s="38" t="s">
        <v>1460</v>
      </c>
      <c r="AF95" s="355">
        <f t="shared" si="57"/>
        <v>0.6</v>
      </c>
      <c r="AG95" s="37" t="str">
        <f t="shared" ref="AG95:AG114" si="64">IFERROR(IF(AF95="","",IF(AF95&lt;=0.2,"Muy Baja",IF(AF95&lt;=0.4,"Baja",IF(AF95&lt;=0.6,"Media",IF(AF95&lt;=0.8,"Alta","Muy Alta"))))),"")</f>
        <v>Media</v>
      </c>
      <c r="AH95" s="355">
        <f t="shared" si="58"/>
        <v>0.6</v>
      </c>
      <c r="AI95" s="37" t="str">
        <f t="shared" ref="AI95:AI114" si="65">IFERROR(IF(AH95="","",IF(AH95&lt;=0.2,"Leve",IF(AH95&lt;=0.4,"Menor",IF(AH95&lt;=0.6,"Moderado",IF(AH95&lt;=0.8,"Mayor","Catastrófico"))))),"")</f>
        <v>Moderado</v>
      </c>
      <c r="AJ95" s="36">
        <f t="shared" ref="AJ95:AJ114" si="66">+AF95*AH95</f>
        <v>0.36</v>
      </c>
      <c r="AK95" s="340" t="str">
        <f t="shared" si="52"/>
        <v>Moderado</v>
      </c>
      <c r="AL95" s="614" t="str">
        <f>+AK96</f>
        <v>Moderado</v>
      </c>
      <c r="AM95" s="563" t="s">
        <v>759</v>
      </c>
      <c r="AN95" s="354"/>
      <c r="AO95" s="354"/>
      <c r="AP95" s="354"/>
      <c r="AQ95" s="354"/>
      <c r="AR95" s="354"/>
      <c r="AS95" s="354"/>
    </row>
    <row r="96" spans="2:45" ht="71.25" customHeight="1" x14ac:dyDescent="0.25">
      <c r="B96" s="555"/>
      <c r="C96" s="555"/>
      <c r="D96" s="560"/>
      <c r="E96" s="560"/>
      <c r="F96" s="560"/>
      <c r="G96" s="558"/>
      <c r="H96" s="555"/>
      <c r="I96" s="555"/>
      <c r="J96" s="555"/>
      <c r="K96" s="564"/>
      <c r="L96" s="560"/>
      <c r="M96" s="582"/>
      <c r="N96" s="578"/>
      <c r="O96" s="575"/>
      <c r="P96" s="572"/>
      <c r="Q96" s="555"/>
      <c r="R96" s="575" t="e">
        <f>+VLOOKUP(Q96,Impacto!$B$5:$D$9,2,FALSE)</f>
        <v>#N/A</v>
      </c>
      <c r="S96" s="572" t="e">
        <f>+VLOOKUP(Q96,Impacto!$B$5:$D$9,3,FALSE)</f>
        <v>#N/A</v>
      </c>
      <c r="T96" s="572"/>
      <c r="U96" s="569" t="str">
        <f t="shared" si="51"/>
        <v>Bajo</v>
      </c>
      <c r="V96" s="40">
        <v>2</v>
      </c>
      <c r="W96" s="38" t="s">
        <v>1031</v>
      </c>
      <c r="X96" s="35" t="str">
        <f t="shared" ref="X96:X116" si="67">IF(OR(Y96="Preventivo",Y96="Detectivo"),"Probabilidad",IF(Y96="Correctivo","Impacto",""))</f>
        <v>Probabilidad</v>
      </c>
      <c r="Y96" s="42" t="s">
        <v>755</v>
      </c>
      <c r="Z96" s="42" t="s">
        <v>756</v>
      </c>
      <c r="AA96" s="43" t="str">
        <f t="shared" si="63"/>
        <v>40%</v>
      </c>
      <c r="AB96" s="42" t="s">
        <v>738</v>
      </c>
      <c r="AC96" s="42" t="s">
        <v>757</v>
      </c>
      <c r="AD96" s="42" t="s">
        <v>758</v>
      </c>
      <c r="AE96" s="38" t="s">
        <v>1461</v>
      </c>
      <c r="AF96" s="355">
        <f>IFERROR(IF(AND(X95="Probabilidad",X96="Probabilidad"),(AF95-(+AF95*AA96)),IF(X96="Probabilidad",(P95-(P95*AA96)),IF(X96="Impacto",P95,""))),"")</f>
        <v>0.36</v>
      </c>
      <c r="AG96" s="37" t="str">
        <f>IFERROR(IF(AF96="","",IF(AF96&lt;=0.2,"Muy Baja",IF(AF96&lt;=0.4,"Baja",IF(AF96&lt;=0.6,"Media",IF(AF96&lt;=0.8,"Alta","Muy Alta"))))),"")</f>
        <v>Baja</v>
      </c>
      <c r="AH96" s="27">
        <f>IFERROR(IF(AND(X95="Impacto",X96="Impacto"),(AH95-(+AH95*AA96)),IF(X96="Impacto",(S95-(+S95*AA96)),IF(X96="Probabilidad",AH95,""))),"")</f>
        <v>0.6</v>
      </c>
      <c r="AI96" s="37" t="str">
        <f>IFERROR(IF(AH96="","",IF(AH96&lt;=0.2,"Leve",IF(AH96&lt;=0.4,"Menor",IF(AH96&lt;=0.6,"Moderado",IF(AH96&lt;=0.8,"Mayor","Catastrófico"))))),"")</f>
        <v>Moderado</v>
      </c>
      <c r="AJ96" s="36">
        <f>+AF96*AH96</f>
        <v>0.216</v>
      </c>
      <c r="AK96" s="340" t="str">
        <f t="shared" si="52"/>
        <v>Moderado</v>
      </c>
      <c r="AL96" s="616"/>
      <c r="AM96" s="564"/>
      <c r="AN96" s="354"/>
      <c r="AO96" s="354"/>
      <c r="AP96" s="354"/>
      <c r="AQ96" s="354"/>
      <c r="AR96" s="354"/>
      <c r="AS96" s="354"/>
    </row>
    <row r="97" spans="2:45" ht="103.5" customHeight="1" x14ac:dyDescent="0.25">
      <c r="B97" s="554" t="s">
        <v>1025</v>
      </c>
      <c r="C97" s="554" t="s">
        <v>1026</v>
      </c>
      <c r="D97" s="560" t="s">
        <v>1032</v>
      </c>
      <c r="E97" s="560" t="s">
        <v>1033</v>
      </c>
      <c r="F97" s="560" t="s">
        <v>1387</v>
      </c>
      <c r="G97" s="558" t="s">
        <v>1034</v>
      </c>
      <c r="H97" s="554" t="s">
        <v>747</v>
      </c>
      <c r="I97" s="554" t="s">
        <v>748</v>
      </c>
      <c r="J97" s="554" t="s">
        <v>749</v>
      </c>
      <c r="K97" s="563" t="s">
        <v>750</v>
      </c>
      <c r="L97" s="560" t="s">
        <v>785</v>
      </c>
      <c r="M97" s="581" t="s">
        <v>752</v>
      </c>
      <c r="N97" s="578">
        <v>240</v>
      </c>
      <c r="O97" s="573" t="str">
        <f t="shared" si="61"/>
        <v>Media</v>
      </c>
      <c r="P97" s="570">
        <f>+VLOOKUP(O97,Probabilidad!$B$5:$C$9,2,FALSE)</f>
        <v>0.6</v>
      </c>
      <c r="Q97" s="554" t="s">
        <v>770</v>
      </c>
      <c r="R97" s="573" t="str">
        <f>+VLOOKUP(Q97,Impacto!$B$5:$D$9,2,FALSE)</f>
        <v>Moderado</v>
      </c>
      <c r="S97" s="570">
        <f>+VLOOKUP(Q97,Impacto!$B$5:$D$9,3,FALSE)</f>
        <v>0.6</v>
      </c>
      <c r="T97" s="570">
        <f t="shared" si="62"/>
        <v>0.36</v>
      </c>
      <c r="U97" s="567" t="str">
        <f t="shared" si="51"/>
        <v>Moderado</v>
      </c>
      <c r="V97" s="40">
        <v>1</v>
      </c>
      <c r="W97" s="38" t="s">
        <v>1035</v>
      </c>
      <c r="X97" s="35" t="str">
        <f t="shared" si="67"/>
        <v>Probabilidad</v>
      </c>
      <c r="Y97" s="42" t="s">
        <v>755</v>
      </c>
      <c r="Z97" s="42" t="s">
        <v>756</v>
      </c>
      <c r="AA97" s="43" t="str">
        <f t="shared" si="63"/>
        <v>40%</v>
      </c>
      <c r="AB97" s="42" t="s">
        <v>738</v>
      </c>
      <c r="AC97" s="42" t="s">
        <v>757</v>
      </c>
      <c r="AD97" s="42" t="s">
        <v>758</v>
      </c>
      <c r="AE97" s="38" t="s">
        <v>1605</v>
      </c>
      <c r="AF97" s="355">
        <f>IFERROR(IF(X97="Probabilidad",(P97-(P97*AA97)),IF(X97="Impacto",P97,"")),"")</f>
        <v>0.36</v>
      </c>
      <c r="AG97" s="37" t="str">
        <f t="shared" si="64"/>
        <v>Baja</v>
      </c>
      <c r="AH97" s="355">
        <f>IFERROR(IF(X97="Impacto",(S97-(S97*AA97)),IF(X97="Probabilidad",S97,"")),"")</f>
        <v>0.6</v>
      </c>
      <c r="AI97" s="37" t="str">
        <f t="shared" si="65"/>
        <v>Moderado</v>
      </c>
      <c r="AJ97" s="36">
        <f t="shared" si="66"/>
        <v>0.216</v>
      </c>
      <c r="AK97" s="340" t="str">
        <f t="shared" si="52"/>
        <v>Moderado</v>
      </c>
      <c r="AL97" s="614" t="str">
        <f>+AK98</f>
        <v>Moderado</v>
      </c>
      <c r="AM97" s="563" t="s">
        <v>759</v>
      </c>
      <c r="AN97" s="354"/>
      <c r="AO97" s="354"/>
      <c r="AP97" s="354"/>
      <c r="AQ97" s="354"/>
      <c r="AR97" s="354"/>
      <c r="AS97" s="354"/>
    </row>
    <row r="98" spans="2:45" ht="67.5" customHeight="1" x14ac:dyDescent="0.25">
      <c r="B98" s="555"/>
      <c r="C98" s="555"/>
      <c r="D98" s="560"/>
      <c r="E98" s="560"/>
      <c r="F98" s="560"/>
      <c r="G98" s="558"/>
      <c r="H98" s="555"/>
      <c r="I98" s="555"/>
      <c r="J98" s="555"/>
      <c r="K98" s="564"/>
      <c r="L98" s="560"/>
      <c r="M98" s="582"/>
      <c r="N98" s="578"/>
      <c r="O98" s="575"/>
      <c r="P98" s="572"/>
      <c r="Q98" s="555"/>
      <c r="R98" s="575" t="e">
        <f>+VLOOKUP(Q98,Impacto!$B$5:$D$9,2,FALSE)</f>
        <v>#N/A</v>
      </c>
      <c r="S98" s="572" t="e">
        <f>+VLOOKUP(Q98,Impacto!$B$5:$D$9,3,FALSE)</f>
        <v>#N/A</v>
      </c>
      <c r="T98" s="572"/>
      <c r="U98" s="569" t="str">
        <f t="shared" si="51"/>
        <v>Bajo</v>
      </c>
      <c r="V98" s="40">
        <v>2</v>
      </c>
      <c r="W98" s="38" t="s">
        <v>1036</v>
      </c>
      <c r="X98" s="35" t="str">
        <f t="shared" si="67"/>
        <v>Probabilidad</v>
      </c>
      <c r="Y98" s="42" t="s">
        <v>755</v>
      </c>
      <c r="Z98" s="42" t="s">
        <v>756</v>
      </c>
      <c r="AA98" s="43" t="str">
        <f t="shared" si="63"/>
        <v>40%</v>
      </c>
      <c r="AB98" s="42" t="s">
        <v>738</v>
      </c>
      <c r="AC98" s="42" t="s">
        <v>757</v>
      </c>
      <c r="AD98" s="42" t="s">
        <v>758</v>
      </c>
      <c r="AE98" s="38" t="s">
        <v>1463</v>
      </c>
      <c r="AF98" s="27">
        <f>IFERROR(IF(AND(X97="Probabilidad",X98="Probabilidad"),(AF97-(+AF97*AA98)),IF(X98="Probabilidad",(P97-(P97*AA98)),IF(X98="Impacto",P97,""))),"")</f>
        <v>0.216</v>
      </c>
      <c r="AG98" s="37" t="str">
        <f>IFERROR(IF(AF98="","",IF(AF98&lt;=0.2,"Muy Baja",IF(AF98&lt;=0.4,"Baja",IF(AF98&lt;=0.6,"Media",IF(AF98&lt;=0.8,"Alta","Muy Alta"))))),"")</f>
        <v>Baja</v>
      </c>
      <c r="AH98" s="27">
        <f>IFERROR(IF(AND(X97="Impacto",X98="Impacto"),(AH97-(+AH97*AA98)),IF(X98="Impacto",(S97-(+S97*AA98)),IF(X98="Probabilidad",AH97,""))),"")</f>
        <v>0.6</v>
      </c>
      <c r="AI98" s="37" t="str">
        <f>IFERROR(IF(AH98="","",IF(AH98&lt;=0.2,"Leve",IF(AH98&lt;=0.4,"Menor",IF(AH98&lt;=0.6,"Moderado",IF(AH98&lt;=0.8,"Mayor","Catastrófico"))))),"")</f>
        <v>Moderado</v>
      </c>
      <c r="AJ98" s="36">
        <f>+AF98*AH98</f>
        <v>0.12959999999999999</v>
      </c>
      <c r="AK98" s="340" t="str">
        <f t="shared" si="52"/>
        <v>Moderado</v>
      </c>
      <c r="AL98" s="616"/>
      <c r="AM98" s="564"/>
      <c r="AN98" s="354"/>
      <c r="AO98" s="354"/>
      <c r="AP98" s="354"/>
      <c r="AQ98" s="354"/>
      <c r="AR98" s="354"/>
      <c r="AS98" s="354"/>
    </row>
    <row r="99" spans="2:45" ht="63.75" x14ac:dyDescent="0.25">
      <c r="B99" s="28" t="s">
        <v>1025</v>
      </c>
      <c r="C99" s="28" t="s">
        <v>1026</v>
      </c>
      <c r="D99" s="38" t="s">
        <v>1037</v>
      </c>
      <c r="E99" s="38" t="s">
        <v>1592</v>
      </c>
      <c r="F99" s="38" t="s">
        <v>1388</v>
      </c>
      <c r="G99" s="39" t="s">
        <v>802</v>
      </c>
      <c r="H99" s="28" t="s">
        <v>747</v>
      </c>
      <c r="I99" s="28" t="s">
        <v>748</v>
      </c>
      <c r="J99" s="28" t="s">
        <v>749</v>
      </c>
      <c r="K99" s="26" t="s">
        <v>750</v>
      </c>
      <c r="L99" s="38" t="s">
        <v>751</v>
      </c>
      <c r="M99" s="40" t="s">
        <v>752</v>
      </c>
      <c r="N99" s="41">
        <v>240</v>
      </c>
      <c r="O99" s="370" t="str">
        <f t="shared" si="61"/>
        <v>Media</v>
      </c>
      <c r="P99" s="355">
        <f>+VLOOKUP(O99,Probabilidad!$B$5:$C$9,2,FALSE)</f>
        <v>0.6</v>
      </c>
      <c r="Q99" s="28" t="s">
        <v>770</v>
      </c>
      <c r="R99" s="371" t="str">
        <f>+VLOOKUP(Q99,Impacto!$B$5:$D$9,2,FALSE)</f>
        <v>Moderado</v>
      </c>
      <c r="S99" s="355">
        <f>+VLOOKUP(Q99,Impacto!$B$5:$D$9,3,FALSE)</f>
        <v>0.6</v>
      </c>
      <c r="T99" s="355">
        <f t="shared" si="62"/>
        <v>0.36</v>
      </c>
      <c r="U99" s="340" t="str">
        <f t="shared" si="51"/>
        <v>Moderado</v>
      </c>
      <c r="V99" s="40">
        <v>1</v>
      </c>
      <c r="W99" s="38" t="s">
        <v>1038</v>
      </c>
      <c r="X99" s="35" t="str">
        <f t="shared" si="67"/>
        <v>Probabilidad</v>
      </c>
      <c r="Y99" s="42" t="s">
        <v>755</v>
      </c>
      <c r="Z99" s="42" t="s">
        <v>756</v>
      </c>
      <c r="AA99" s="43" t="str">
        <f t="shared" si="63"/>
        <v>40%</v>
      </c>
      <c r="AB99" s="42" t="s">
        <v>738</v>
      </c>
      <c r="AC99" s="42" t="s">
        <v>757</v>
      </c>
      <c r="AD99" s="42" t="s">
        <v>758</v>
      </c>
      <c r="AE99" s="38" t="s">
        <v>1462</v>
      </c>
      <c r="AF99" s="355">
        <f>IFERROR(IF(X99="Probabilidad",(P99-(P99*AA99)),IF(X99="Impacto",P99,"")),"")</f>
        <v>0.36</v>
      </c>
      <c r="AG99" s="37" t="str">
        <f t="shared" si="64"/>
        <v>Baja</v>
      </c>
      <c r="AH99" s="355">
        <f>IFERROR(IF(X99="Impacto",(S99-(S99*AA99)),IF(X99="Probabilidad",S99,"")),"")</f>
        <v>0.6</v>
      </c>
      <c r="AI99" s="37" t="str">
        <f t="shared" si="65"/>
        <v>Moderado</v>
      </c>
      <c r="AJ99" s="36">
        <f t="shared" si="66"/>
        <v>0.216</v>
      </c>
      <c r="AK99" s="340" t="str">
        <f t="shared" si="52"/>
        <v>Moderado</v>
      </c>
      <c r="AL99" s="37" t="str">
        <f t="shared" si="60"/>
        <v>Moderado</v>
      </c>
      <c r="AM99" s="26" t="s">
        <v>759</v>
      </c>
      <c r="AN99" s="354"/>
      <c r="AO99" s="354"/>
      <c r="AP99" s="354"/>
      <c r="AQ99" s="354"/>
      <c r="AR99" s="354"/>
      <c r="AS99" s="354"/>
    </row>
    <row r="100" spans="2:45" ht="63.75" x14ac:dyDescent="0.25">
      <c r="B100" s="28" t="s">
        <v>1025</v>
      </c>
      <c r="C100" s="28" t="s">
        <v>1026</v>
      </c>
      <c r="D100" s="38" t="s">
        <v>1039</v>
      </c>
      <c r="E100" s="38" t="s">
        <v>1040</v>
      </c>
      <c r="F100" s="38" t="s">
        <v>1389</v>
      </c>
      <c r="G100" s="39" t="s">
        <v>1041</v>
      </c>
      <c r="H100" s="28" t="s">
        <v>747</v>
      </c>
      <c r="I100" s="28" t="s">
        <v>748</v>
      </c>
      <c r="J100" s="28" t="s">
        <v>749</v>
      </c>
      <c r="K100" s="26" t="s">
        <v>750</v>
      </c>
      <c r="L100" s="38" t="s">
        <v>751</v>
      </c>
      <c r="M100" s="40" t="s">
        <v>752</v>
      </c>
      <c r="N100" s="41">
        <v>12</v>
      </c>
      <c r="O100" s="370" t="str">
        <f t="shared" si="61"/>
        <v>Baja</v>
      </c>
      <c r="P100" s="355">
        <f>+VLOOKUP(O100,Probabilidad!$B$5:$C$9,2,FALSE)</f>
        <v>0.4</v>
      </c>
      <c r="Q100" s="28" t="s">
        <v>770</v>
      </c>
      <c r="R100" s="371" t="str">
        <f>+VLOOKUP(Q100,Impacto!$B$5:$D$9,2,FALSE)</f>
        <v>Moderado</v>
      </c>
      <c r="S100" s="355">
        <f>+VLOOKUP(Q100,Impacto!$B$5:$D$9,3,FALSE)</f>
        <v>0.6</v>
      </c>
      <c r="T100" s="355">
        <f t="shared" si="62"/>
        <v>0.24</v>
      </c>
      <c r="U100" s="340" t="str">
        <f t="shared" si="51"/>
        <v>Moderado</v>
      </c>
      <c r="V100" s="40">
        <v>1</v>
      </c>
      <c r="W100" s="38" t="s">
        <v>1042</v>
      </c>
      <c r="X100" s="35" t="str">
        <f t="shared" si="67"/>
        <v>Probabilidad</v>
      </c>
      <c r="Y100" s="42" t="s">
        <v>755</v>
      </c>
      <c r="Z100" s="42" t="s">
        <v>756</v>
      </c>
      <c r="AA100" s="43" t="str">
        <f t="shared" si="63"/>
        <v>40%</v>
      </c>
      <c r="AB100" s="42" t="s">
        <v>738</v>
      </c>
      <c r="AC100" s="42" t="s">
        <v>757</v>
      </c>
      <c r="AD100" s="42" t="s">
        <v>758</v>
      </c>
      <c r="AE100" s="38" t="s">
        <v>1043</v>
      </c>
      <c r="AF100" s="355">
        <f>IFERROR(IF(X100="Probabilidad",(P100-(P100*AA100)),IF(X100="Impacto",P100,"")),"")</f>
        <v>0.24</v>
      </c>
      <c r="AG100" s="37" t="str">
        <f t="shared" si="64"/>
        <v>Baja</v>
      </c>
      <c r="AH100" s="355">
        <f>IFERROR(IF(X100="Impacto",(S100-(S100*AA100)),IF(X100="Probabilidad",S100,"")),"")</f>
        <v>0.6</v>
      </c>
      <c r="AI100" s="37" t="str">
        <f t="shared" si="65"/>
        <v>Moderado</v>
      </c>
      <c r="AJ100" s="36">
        <f t="shared" si="66"/>
        <v>0.14399999999999999</v>
      </c>
      <c r="AK100" s="340" t="str">
        <f t="shared" si="52"/>
        <v>Moderado</v>
      </c>
      <c r="AL100" s="37" t="str">
        <f t="shared" si="60"/>
        <v>Moderado</v>
      </c>
      <c r="AM100" s="26" t="s">
        <v>759</v>
      </c>
      <c r="AN100" s="354"/>
      <c r="AO100" s="354"/>
      <c r="AP100" s="354"/>
      <c r="AQ100" s="354"/>
      <c r="AR100" s="354"/>
      <c r="AS100" s="354"/>
    </row>
    <row r="101" spans="2:45" ht="159.75" customHeight="1" x14ac:dyDescent="0.25">
      <c r="B101" s="28" t="s">
        <v>1025</v>
      </c>
      <c r="C101" s="28" t="s">
        <v>1026</v>
      </c>
      <c r="D101" s="38" t="s">
        <v>1607</v>
      </c>
      <c r="E101" s="38" t="s">
        <v>1027</v>
      </c>
      <c r="F101" s="38" t="s">
        <v>1384</v>
      </c>
      <c r="G101" s="39" t="s">
        <v>1028</v>
      </c>
      <c r="H101" s="28" t="s">
        <v>747</v>
      </c>
      <c r="I101" s="28" t="s">
        <v>748</v>
      </c>
      <c r="J101" s="28" t="s">
        <v>749</v>
      </c>
      <c r="K101" s="26" t="s">
        <v>750</v>
      </c>
      <c r="L101" s="38" t="s">
        <v>751</v>
      </c>
      <c r="M101" s="40" t="s">
        <v>752</v>
      </c>
      <c r="N101" s="41">
        <v>25</v>
      </c>
      <c r="O101" s="370" t="str">
        <f>IF(N101&lt;=0,"",IF(N101&lt;=2,"Muy Baja",IF(N101&lt;=24,"Baja",IF(N101&lt;=500,"Media",IF(N101&lt;=5000,"Alta","Muy Alta")))))</f>
        <v>Media</v>
      </c>
      <c r="P101" s="355">
        <f>+VLOOKUP(O101,Probabilidad!$B$5:$C$9,2,FALSE)</f>
        <v>0.6</v>
      </c>
      <c r="Q101" s="28" t="s">
        <v>786</v>
      </c>
      <c r="R101" s="371" t="str">
        <f>+VLOOKUP(Q101,Impacto!$B$5:$D$9,2,FALSE)</f>
        <v>Leve</v>
      </c>
      <c r="S101" s="27">
        <f>+VLOOKUP(Q101,Impacto!$B$5:$D$9,3,FALSE)</f>
        <v>0.2</v>
      </c>
      <c r="T101" s="355">
        <f>+P101*S101</f>
        <v>0.12</v>
      </c>
      <c r="U101" s="340" t="str">
        <f>+IF(T101&lt;=11%,"Bajo",IF(AND(T101&gt;=12%,T101&lt;=39%),"Moderado",IF(AND(T101&gt;=40%,T101&lt;=64%),"Alto",IF(T101&gt;64%,"Extremo",""))))</f>
        <v>Moderado</v>
      </c>
      <c r="V101" s="40">
        <v>1</v>
      </c>
      <c r="W101" s="38" t="s">
        <v>1675</v>
      </c>
      <c r="X101" s="35" t="str">
        <f>IF(OR(Y101="Preventivo",Y101="Detectivo"),"Probabilidad",IF(Y101="Correctivo","Impacto",""))</f>
        <v>Probabilidad</v>
      </c>
      <c r="Y101" s="42" t="s">
        <v>755</v>
      </c>
      <c r="Z101" s="42" t="s">
        <v>756</v>
      </c>
      <c r="AA101" s="43" t="str">
        <f>IF(AND(Y101="Preventivo",Z101="Automático"),"50%",IF(AND(Y101="Preventivo",Z101="Manual"),"40%",IF(AND(Y101="Detectivo",Z101="Automático"),"40%",IF(AND(Y101="Detectivo",Z101="Manual"),"30%",IF(AND(Y101="Correctivo",Z101="Automático"),"35%",IF(AND(Y101="Correctivo",Z101="Manual"),"25%",""))))))</f>
        <v>40%</v>
      </c>
      <c r="AB101" s="42" t="s">
        <v>738</v>
      </c>
      <c r="AC101" s="42" t="s">
        <v>757</v>
      </c>
      <c r="AD101" s="42" t="s">
        <v>758</v>
      </c>
      <c r="AE101" s="38" t="s">
        <v>1604</v>
      </c>
      <c r="AF101" s="355">
        <f>IFERROR(IF(X101="Probabilidad",(P101-(P101*AA101)),IF(X101="Impacto",P101,"")),"")</f>
        <v>0.36</v>
      </c>
      <c r="AG101" s="37" t="str">
        <f>IFERROR(IF(AF101="","",IF(AF101&lt;=0.2,"Muy Baja",IF(AF101&lt;=0.4,"Baja",IF(AF101&lt;=0.6,"Media",IF(AF101&lt;=0.8,"Alta","Muy Alta"))))),"")</f>
        <v>Baja</v>
      </c>
      <c r="AH101" s="355">
        <f>IFERROR(IF(X101="Impacto",(S101-(S101*AA101)),IF(X101="Probabilidad",S101,"")),"")</f>
        <v>0.2</v>
      </c>
      <c r="AI101" s="37" t="str">
        <f>IFERROR(IF(AH101="","",IF(AH101&lt;=0.2,"Leve",IF(AH101&lt;=0.4,"Menor",IF(AH101&lt;=0.6,"Moderado",IF(AH101&lt;=0.8,"Mayor","Catastrófico"))))),"")</f>
        <v>Leve</v>
      </c>
      <c r="AJ101" s="36">
        <f>+AF101*AH101</f>
        <v>7.1999999999999995E-2</v>
      </c>
      <c r="AK101" s="340" t="str">
        <f>+IF(AJ101&lt;=11%,"Bajo",IF(AND(AJ101&gt;=12%,AJ101&lt;=39%),"Moderado",IF(AND(AJ101&gt;=40%,AJ101&lt;=64%),"Alto",IF(AJ101&gt;64%,"Extremo",""))))</f>
        <v>Bajo</v>
      </c>
      <c r="AL101" s="37" t="str">
        <f>+AK101</f>
        <v>Bajo</v>
      </c>
      <c r="AM101" s="26" t="s">
        <v>759</v>
      </c>
      <c r="AN101" s="354"/>
      <c r="AO101" s="354"/>
      <c r="AP101" s="354"/>
      <c r="AQ101" s="354"/>
      <c r="AR101" s="354"/>
      <c r="AS101" s="354"/>
    </row>
    <row r="102" spans="2:45" ht="92.25" customHeight="1" x14ac:dyDescent="0.25">
      <c r="B102" s="554" t="s">
        <v>1025</v>
      </c>
      <c r="C102" s="554" t="s">
        <v>1044</v>
      </c>
      <c r="D102" s="560" t="s">
        <v>1045</v>
      </c>
      <c r="E102" s="560" t="s">
        <v>1666</v>
      </c>
      <c r="F102" s="560" t="s">
        <v>1046</v>
      </c>
      <c r="G102" s="558" t="s">
        <v>1047</v>
      </c>
      <c r="H102" s="554" t="s">
        <v>747</v>
      </c>
      <c r="I102" s="554" t="s">
        <v>1048</v>
      </c>
      <c r="J102" s="554" t="s">
        <v>749</v>
      </c>
      <c r="K102" s="563" t="s">
        <v>750</v>
      </c>
      <c r="L102" s="560" t="s">
        <v>751</v>
      </c>
      <c r="M102" s="581" t="s">
        <v>752</v>
      </c>
      <c r="N102" s="578">
        <v>1</v>
      </c>
      <c r="O102" s="573" t="str">
        <f t="shared" si="61"/>
        <v>Muy Baja</v>
      </c>
      <c r="P102" s="570">
        <f>+VLOOKUP(O102,Probabilidad!$B$5:$C$9,2,FALSE)</f>
        <v>0.2</v>
      </c>
      <c r="Q102" s="554" t="s">
        <v>770</v>
      </c>
      <c r="R102" s="573" t="str">
        <f>+VLOOKUP(Q102,Impacto!$B$5:$D$9,2,FALSE)</f>
        <v>Moderado</v>
      </c>
      <c r="S102" s="570">
        <f>+VLOOKUP(Q102,Impacto!$B$5:$D$9,3,FALSE)</f>
        <v>0.6</v>
      </c>
      <c r="T102" s="570">
        <f t="shared" si="62"/>
        <v>0.12</v>
      </c>
      <c r="U102" s="567" t="str">
        <f t="shared" si="51"/>
        <v>Moderado</v>
      </c>
      <c r="V102" s="40">
        <v>1</v>
      </c>
      <c r="W102" s="38" t="s">
        <v>1049</v>
      </c>
      <c r="X102" s="35" t="str">
        <f t="shared" si="67"/>
        <v>Probabilidad</v>
      </c>
      <c r="Y102" s="42" t="s">
        <v>755</v>
      </c>
      <c r="Z102" s="42" t="s">
        <v>756</v>
      </c>
      <c r="AA102" s="43" t="str">
        <f t="shared" si="63"/>
        <v>40%</v>
      </c>
      <c r="AB102" s="42" t="s">
        <v>738</v>
      </c>
      <c r="AC102" s="42" t="s">
        <v>757</v>
      </c>
      <c r="AD102" s="42" t="s">
        <v>758</v>
      </c>
      <c r="AE102" s="38" t="s">
        <v>1050</v>
      </c>
      <c r="AF102" s="355">
        <f>IFERROR(IF(X102="Probabilidad",(P102-(P102*AA102)),IF(X102="Impacto",P102,"")),"")</f>
        <v>0.12</v>
      </c>
      <c r="AG102" s="37" t="str">
        <f t="shared" si="64"/>
        <v>Muy Baja</v>
      </c>
      <c r="AH102" s="355">
        <f>IFERROR(IF(X102="Impacto",(S102-(S102*AA102)),IF(X102="Probabilidad",S102,"")),"")</f>
        <v>0.6</v>
      </c>
      <c r="AI102" s="37" t="str">
        <f t="shared" si="65"/>
        <v>Moderado</v>
      </c>
      <c r="AJ102" s="36">
        <f t="shared" si="66"/>
        <v>7.1999999999999995E-2</v>
      </c>
      <c r="AK102" s="340" t="str">
        <f t="shared" si="52"/>
        <v>Bajo</v>
      </c>
      <c r="AL102" s="614" t="str">
        <f>+AK103</f>
        <v>Bajo</v>
      </c>
      <c r="AM102" s="563" t="s">
        <v>759</v>
      </c>
      <c r="AN102" s="354"/>
      <c r="AO102" s="354"/>
      <c r="AP102" s="354"/>
      <c r="AQ102" s="354"/>
      <c r="AR102" s="354"/>
      <c r="AS102" s="354"/>
    </row>
    <row r="103" spans="2:45" ht="94.5" customHeight="1" x14ac:dyDescent="0.25">
      <c r="B103" s="555"/>
      <c r="C103" s="555"/>
      <c r="D103" s="560"/>
      <c r="E103" s="560"/>
      <c r="F103" s="560"/>
      <c r="G103" s="558"/>
      <c r="H103" s="555"/>
      <c r="I103" s="555"/>
      <c r="J103" s="555"/>
      <c r="K103" s="564"/>
      <c r="L103" s="560"/>
      <c r="M103" s="582"/>
      <c r="N103" s="578"/>
      <c r="O103" s="575"/>
      <c r="P103" s="572"/>
      <c r="Q103" s="555"/>
      <c r="R103" s="575" t="e">
        <f>+VLOOKUP(Q103,Impacto!$B$5:$D$9,2,FALSE)</f>
        <v>#N/A</v>
      </c>
      <c r="S103" s="572" t="e">
        <f>+VLOOKUP(Q103,Impacto!$B$5:$D$9,3,FALSE)</f>
        <v>#N/A</v>
      </c>
      <c r="T103" s="572"/>
      <c r="U103" s="569" t="str">
        <f t="shared" si="51"/>
        <v>Bajo</v>
      </c>
      <c r="V103" s="40">
        <v>2</v>
      </c>
      <c r="W103" s="38" t="s">
        <v>1051</v>
      </c>
      <c r="X103" s="35" t="str">
        <f t="shared" si="67"/>
        <v>Probabilidad</v>
      </c>
      <c r="Y103" s="42" t="s">
        <v>755</v>
      </c>
      <c r="Z103" s="42" t="s">
        <v>756</v>
      </c>
      <c r="AA103" s="43" t="str">
        <f t="shared" si="63"/>
        <v>40%</v>
      </c>
      <c r="AB103" s="42" t="s">
        <v>738</v>
      </c>
      <c r="AC103" s="42" t="s">
        <v>757</v>
      </c>
      <c r="AD103" s="42" t="s">
        <v>758</v>
      </c>
      <c r="AE103" s="38" t="s">
        <v>1052</v>
      </c>
      <c r="AF103" s="27">
        <f>IFERROR(IF(AND(X102="Probabilidad",X103="Probabilidad"),(AF102-(+AF102*AA103)),IF(X103="Probabilidad",(P102-(P102*AA103)),IF(X103="Impacto",P102,""))),"")</f>
        <v>7.1999999999999995E-2</v>
      </c>
      <c r="AG103" s="37" t="str">
        <f>IFERROR(IF(AF103="","",IF(AF103&lt;=0.2,"Muy Baja",IF(AF103&lt;=0.4,"Baja",IF(AF103&lt;=0.6,"Media",IF(AF103&lt;=0.8,"Alta","Muy Alta"))))),"")</f>
        <v>Muy Baja</v>
      </c>
      <c r="AH103" s="27">
        <f>IFERROR(IF(AND(X102="Impacto",X103="Impacto"),(AH102-(+AH102*AA103)),IF(X103="Impacto",(S102-(+S102*AA103)),IF(X103="Probabilidad",AH102,""))),"")</f>
        <v>0.6</v>
      </c>
      <c r="AI103" s="37" t="str">
        <f>IFERROR(IF(AH103="","",IF(AH103&lt;=0.2,"Leve",IF(AH103&lt;=0.4,"Menor",IF(AH103&lt;=0.6,"Moderado",IF(AH103&lt;=0.8,"Mayor","Catastrófico"))))),"")</f>
        <v>Moderado</v>
      </c>
      <c r="AJ103" s="36">
        <f>+AF103*AH103</f>
        <v>4.3199999999999995E-2</v>
      </c>
      <c r="AK103" s="340" t="str">
        <f t="shared" si="52"/>
        <v>Bajo</v>
      </c>
      <c r="AL103" s="616"/>
      <c r="AM103" s="564"/>
      <c r="AN103" s="354"/>
      <c r="AO103" s="354"/>
      <c r="AP103" s="354"/>
      <c r="AQ103" s="354"/>
      <c r="AR103" s="354"/>
      <c r="AS103" s="354"/>
    </row>
    <row r="104" spans="2:45" ht="89.25" x14ac:dyDescent="0.25">
      <c r="B104" s="28" t="s">
        <v>1025</v>
      </c>
      <c r="C104" s="28" t="s">
        <v>1044</v>
      </c>
      <c r="D104" s="38" t="s">
        <v>1053</v>
      </c>
      <c r="E104" s="38" t="s">
        <v>1667</v>
      </c>
      <c r="F104" s="38" t="s">
        <v>1390</v>
      </c>
      <c r="G104" s="39" t="s">
        <v>1054</v>
      </c>
      <c r="H104" s="28" t="s">
        <v>747</v>
      </c>
      <c r="I104" s="28" t="s">
        <v>748</v>
      </c>
      <c r="J104" s="28" t="s">
        <v>784</v>
      </c>
      <c r="K104" s="26" t="s">
        <v>750</v>
      </c>
      <c r="L104" s="38" t="s">
        <v>751</v>
      </c>
      <c r="M104" s="40" t="s">
        <v>752</v>
      </c>
      <c r="N104" s="41">
        <v>1980</v>
      </c>
      <c r="O104" s="370" t="str">
        <f t="shared" si="61"/>
        <v>Alta</v>
      </c>
      <c r="P104" s="355">
        <f>+VLOOKUP(O104,Probabilidad!$B$5:$C$9,2,FALSE)</f>
        <v>0.8</v>
      </c>
      <c r="Q104" s="28" t="s">
        <v>770</v>
      </c>
      <c r="R104" s="370" t="str">
        <f>+VLOOKUP(Q104,Impacto!$B$5:$D$9,2,FALSE)</f>
        <v>Moderado</v>
      </c>
      <c r="S104" s="355">
        <f>+VLOOKUP(Q104,Impacto!$B$5:$D$9,3,FALSE)</f>
        <v>0.6</v>
      </c>
      <c r="T104" s="355">
        <f t="shared" si="62"/>
        <v>0.48</v>
      </c>
      <c r="U104" s="340" t="str">
        <f t="shared" si="51"/>
        <v>Alto</v>
      </c>
      <c r="V104" s="40">
        <v>1</v>
      </c>
      <c r="W104" s="38" t="s">
        <v>1055</v>
      </c>
      <c r="X104" s="35" t="str">
        <f t="shared" si="67"/>
        <v>Probabilidad</v>
      </c>
      <c r="Y104" s="42" t="s">
        <v>755</v>
      </c>
      <c r="Z104" s="42" t="s">
        <v>756</v>
      </c>
      <c r="AA104" s="43" t="str">
        <f t="shared" si="63"/>
        <v>40%</v>
      </c>
      <c r="AB104" s="42" t="s">
        <v>738</v>
      </c>
      <c r="AC104" s="42" t="s">
        <v>757</v>
      </c>
      <c r="AD104" s="42" t="s">
        <v>758</v>
      </c>
      <c r="AE104" s="734" t="s">
        <v>1731</v>
      </c>
      <c r="AF104" s="355">
        <f>IFERROR(IF(X104="Probabilidad",(P104-(P104*AA104)),IF(X104="Impacto",P104,"")),"")</f>
        <v>0.48</v>
      </c>
      <c r="AG104" s="37" t="str">
        <f t="shared" si="64"/>
        <v>Media</v>
      </c>
      <c r="AH104" s="355">
        <f>IFERROR(IF(X104="Impacto",(S104-(S104*AA104)),IF(X104="Probabilidad",S104,"")),"")</f>
        <v>0.6</v>
      </c>
      <c r="AI104" s="37" t="str">
        <f t="shared" si="65"/>
        <v>Moderado</v>
      </c>
      <c r="AJ104" s="36">
        <f t="shared" si="66"/>
        <v>0.28799999999999998</v>
      </c>
      <c r="AK104" s="340" t="str">
        <f t="shared" si="52"/>
        <v>Moderado</v>
      </c>
      <c r="AL104" s="365" t="str">
        <f t="shared" si="60"/>
        <v>Moderado</v>
      </c>
      <c r="AM104" s="26" t="s">
        <v>759</v>
      </c>
      <c r="AN104" s="354"/>
      <c r="AO104" s="354"/>
      <c r="AP104" s="354"/>
      <c r="AQ104" s="354"/>
      <c r="AR104" s="354"/>
      <c r="AS104" s="354"/>
    </row>
    <row r="105" spans="2:45" ht="63.75" x14ac:dyDescent="0.25">
      <c r="B105" s="28" t="s">
        <v>1025</v>
      </c>
      <c r="C105" s="28" t="s">
        <v>1044</v>
      </c>
      <c r="D105" s="38" t="s">
        <v>1056</v>
      </c>
      <c r="E105" s="38" t="s">
        <v>782</v>
      </c>
      <c r="F105" s="38" t="s">
        <v>1369</v>
      </c>
      <c r="G105" s="39" t="s">
        <v>783</v>
      </c>
      <c r="H105" s="28" t="s">
        <v>747</v>
      </c>
      <c r="I105" s="28" t="s">
        <v>748</v>
      </c>
      <c r="J105" s="28" t="s">
        <v>784</v>
      </c>
      <c r="K105" s="26" t="s">
        <v>750</v>
      </c>
      <c r="L105" s="38" t="s">
        <v>785</v>
      </c>
      <c r="M105" s="40" t="s">
        <v>752</v>
      </c>
      <c r="N105" s="41">
        <v>5</v>
      </c>
      <c r="O105" s="370" t="str">
        <f t="shared" si="61"/>
        <v>Baja</v>
      </c>
      <c r="P105" s="355">
        <f>+VLOOKUP(O105,Probabilidad!$B$5:$C$9,2,FALSE)</f>
        <v>0.4</v>
      </c>
      <c r="Q105" s="28" t="s">
        <v>770</v>
      </c>
      <c r="R105" s="370" t="str">
        <f>+VLOOKUP(Q105,Impacto!$B$5:$D$9,2,FALSE)</f>
        <v>Moderado</v>
      </c>
      <c r="S105" s="355">
        <f>+VLOOKUP(Q105,Impacto!$B$5:$D$9,3,FALSE)</f>
        <v>0.6</v>
      </c>
      <c r="T105" s="355">
        <f t="shared" si="62"/>
        <v>0.24</v>
      </c>
      <c r="U105" s="340" t="str">
        <f t="shared" si="51"/>
        <v>Moderado</v>
      </c>
      <c r="V105" s="40">
        <v>1</v>
      </c>
      <c r="W105" s="38" t="s">
        <v>1057</v>
      </c>
      <c r="X105" s="35" t="str">
        <f t="shared" si="67"/>
        <v>Probabilidad</v>
      </c>
      <c r="Y105" s="42" t="s">
        <v>755</v>
      </c>
      <c r="Z105" s="42" t="s">
        <v>756</v>
      </c>
      <c r="AA105" s="43" t="str">
        <f t="shared" si="63"/>
        <v>40%</v>
      </c>
      <c r="AB105" s="42" t="s">
        <v>738</v>
      </c>
      <c r="AC105" s="42" t="s">
        <v>757</v>
      </c>
      <c r="AD105" s="42" t="s">
        <v>758</v>
      </c>
      <c r="AE105" s="38" t="s">
        <v>1432</v>
      </c>
      <c r="AF105" s="355">
        <f>IFERROR(IF(X105="Probabilidad",(P105-(P105*AA105)),IF(X105="Impacto",P105,"")),"")</f>
        <v>0.24</v>
      </c>
      <c r="AG105" s="37" t="str">
        <f t="shared" si="64"/>
        <v>Baja</v>
      </c>
      <c r="AH105" s="355">
        <f>IFERROR(IF(X105="Impacto",(S105-(S105*AA105)),IF(X105="Probabilidad",S105,"")),"")</f>
        <v>0.6</v>
      </c>
      <c r="AI105" s="37" t="str">
        <f t="shared" si="65"/>
        <v>Moderado</v>
      </c>
      <c r="AJ105" s="36">
        <f t="shared" si="66"/>
        <v>0.14399999999999999</v>
      </c>
      <c r="AK105" s="340" t="str">
        <f t="shared" si="52"/>
        <v>Moderado</v>
      </c>
      <c r="AL105" s="365" t="str">
        <f t="shared" si="60"/>
        <v>Moderado</v>
      </c>
      <c r="AM105" s="26" t="s">
        <v>759</v>
      </c>
      <c r="AN105" s="354"/>
      <c r="AO105" s="354"/>
      <c r="AP105" s="354"/>
      <c r="AQ105" s="354"/>
      <c r="AR105" s="354"/>
      <c r="AS105" s="354"/>
    </row>
    <row r="106" spans="2:45" ht="63.75" x14ac:dyDescent="0.25">
      <c r="B106" s="554" t="s">
        <v>1058</v>
      </c>
      <c r="C106" s="554" t="s">
        <v>1058</v>
      </c>
      <c r="D106" s="558" t="s">
        <v>1059</v>
      </c>
      <c r="E106" s="560" t="s">
        <v>1588</v>
      </c>
      <c r="F106" s="560" t="s">
        <v>1391</v>
      </c>
      <c r="G106" s="560" t="s">
        <v>1464</v>
      </c>
      <c r="H106" s="554" t="s">
        <v>747</v>
      </c>
      <c r="I106" s="554" t="s">
        <v>748</v>
      </c>
      <c r="J106" s="563" t="s">
        <v>749</v>
      </c>
      <c r="K106" s="563" t="s">
        <v>750</v>
      </c>
      <c r="L106" s="560" t="s">
        <v>785</v>
      </c>
      <c r="M106" s="563" t="s">
        <v>752</v>
      </c>
      <c r="N106" s="578">
        <f>365*90</f>
        <v>32850</v>
      </c>
      <c r="O106" s="573" t="str">
        <f t="shared" si="61"/>
        <v>Muy Alta</v>
      </c>
      <c r="P106" s="570">
        <f>+VLOOKUP(O106,Probabilidad!$B$5:$C$9,2,FALSE)</f>
        <v>1</v>
      </c>
      <c r="Q106" s="554" t="s">
        <v>770</v>
      </c>
      <c r="R106" s="573" t="str">
        <f>+VLOOKUP(Q106,Impacto!$B$5:$D$9,2,FALSE)</f>
        <v>Moderado</v>
      </c>
      <c r="S106" s="570">
        <f>+VLOOKUP(Q106,Impacto!$B$5:$D$9,3,FALSE)</f>
        <v>0.6</v>
      </c>
      <c r="T106" s="570">
        <f t="shared" si="62"/>
        <v>0.6</v>
      </c>
      <c r="U106" s="567" t="str">
        <f t="shared" si="51"/>
        <v>Alto</v>
      </c>
      <c r="V106" s="40">
        <v>1</v>
      </c>
      <c r="W106" s="38" t="s">
        <v>1060</v>
      </c>
      <c r="X106" s="35" t="str">
        <f t="shared" si="67"/>
        <v>Probabilidad</v>
      </c>
      <c r="Y106" s="42" t="s">
        <v>755</v>
      </c>
      <c r="Z106" s="42" t="s">
        <v>756</v>
      </c>
      <c r="AA106" s="43" t="str">
        <f t="shared" si="63"/>
        <v>40%</v>
      </c>
      <c r="AB106" s="42" t="s">
        <v>738</v>
      </c>
      <c r="AC106" s="42" t="s">
        <v>757</v>
      </c>
      <c r="AD106" s="42" t="s">
        <v>758</v>
      </c>
      <c r="AE106" s="38" t="s">
        <v>1501</v>
      </c>
      <c r="AF106" s="355">
        <f>IFERROR(IF(X106="Probabilidad",(P106-(P106*AA106)),IF(X106="Impacto",P106,"")),"")</f>
        <v>0.6</v>
      </c>
      <c r="AG106" s="37" t="str">
        <f t="shared" si="64"/>
        <v>Media</v>
      </c>
      <c r="AH106" s="355">
        <f>IFERROR(IF(X106="Impacto",(S106-(S106*AA106)),IF(X106="Probabilidad",S106,"")),"")</f>
        <v>0.6</v>
      </c>
      <c r="AI106" s="37" t="str">
        <f t="shared" si="65"/>
        <v>Moderado</v>
      </c>
      <c r="AJ106" s="36">
        <f t="shared" si="66"/>
        <v>0.36</v>
      </c>
      <c r="AK106" s="340" t="str">
        <f t="shared" si="52"/>
        <v>Moderado</v>
      </c>
      <c r="AL106" s="614" t="str">
        <f>+AK107</f>
        <v>Moderado</v>
      </c>
      <c r="AM106" s="563" t="s">
        <v>759</v>
      </c>
      <c r="AN106" s="354"/>
      <c r="AO106" s="354"/>
      <c r="AP106" s="354"/>
      <c r="AQ106" s="354"/>
      <c r="AR106" s="354"/>
      <c r="AS106" s="354"/>
    </row>
    <row r="107" spans="2:45" ht="66" customHeight="1" x14ac:dyDescent="0.25">
      <c r="B107" s="555"/>
      <c r="C107" s="555"/>
      <c r="D107" s="558"/>
      <c r="E107" s="560"/>
      <c r="F107" s="560"/>
      <c r="G107" s="560"/>
      <c r="H107" s="555"/>
      <c r="I107" s="555"/>
      <c r="J107" s="564"/>
      <c r="K107" s="564"/>
      <c r="L107" s="560"/>
      <c r="M107" s="564"/>
      <c r="N107" s="578"/>
      <c r="O107" s="575"/>
      <c r="P107" s="572"/>
      <c r="Q107" s="555"/>
      <c r="R107" s="575" t="e">
        <f>+VLOOKUP(Q107,Impacto!$B$5:$D$9,2,FALSE)</f>
        <v>#N/A</v>
      </c>
      <c r="S107" s="572" t="e">
        <f>+VLOOKUP(Q107,Impacto!$B$5:$D$9,3,FALSE)</f>
        <v>#N/A</v>
      </c>
      <c r="T107" s="572"/>
      <c r="U107" s="569" t="str">
        <f t="shared" si="51"/>
        <v>Bajo</v>
      </c>
      <c r="V107" s="40">
        <v>2</v>
      </c>
      <c r="W107" s="38" t="s">
        <v>1062</v>
      </c>
      <c r="X107" s="35" t="str">
        <f t="shared" si="67"/>
        <v>Probabilidad</v>
      </c>
      <c r="Y107" s="42" t="s">
        <v>755</v>
      </c>
      <c r="Z107" s="42" t="s">
        <v>756</v>
      </c>
      <c r="AA107" s="43" t="str">
        <f t="shared" si="63"/>
        <v>40%</v>
      </c>
      <c r="AB107" s="42" t="s">
        <v>738</v>
      </c>
      <c r="AC107" s="42" t="s">
        <v>757</v>
      </c>
      <c r="AD107" s="42" t="s">
        <v>758</v>
      </c>
      <c r="AE107" s="38" t="s">
        <v>1063</v>
      </c>
      <c r="AF107" s="27">
        <f>IFERROR(IF(AND(X106="Probabilidad",X107="Probabilidad"),(AF106-(+AF106*AA107)),IF(X107="Probabilidad",(P106-(P106*AA107)),IF(X107="Impacto",P106,""))),"")</f>
        <v>0.36</v>
      </c>
      <c r="AG107" s="37" t="str">
        <f>IFERROR(IF(AF107="","",IF(AF107&lt;=0.2,"Muy Baja",IF(AF107&lt;=0.4,"Baja",IF(AF107&lt;=0.6,"Media",IF(AF107&lt;=0.8,"Alta","Muy Alta"))))),"")</f>
        <v>Baja</v>
      </c>
      <c r="AH107" s="27">
        <f>IFERROR(IF(AND(X106="Impacto",X107="Impacto"),(AH106-(+AH106*AA107)),IF(X107="Impacto",(S106-(+S106*AA107)),IF(X107="Probabilidad",AH106,""))),"")</f>
        <v>0.6</v>
      </c>
      <c r="AI107" s="37" t="str">
        <f>IFERROR(IF(AH107="","",IF(AH107&lt;=0.2,"Leve",IF(AH107&lt;=0.4,"Menor",IF(AH107&lt;=0.6,"Moderado",IF(AH107&lt;=0.8,"Mayor","Catastrófico"))))),"")</f>
        <v>Moderado</v>
      </c>
      <c r="AJ107" s="36">
        <f>+AF107*AH107</f>
        <v>0.216</v>
      </c>
      <c r="AK107" s="340" t="str">
        <f t="shared" si="52"/>
        <v>Moderado</v>
      </c>
      <c r="AL107" s="616"/>
      <c r="AM107" s="564"/>
      <c r="AN107" s="354"/>
      <c r="AO107" s="354"/>
      <c r="AP107" s="354"/>
      <c r="AQ107" s="354"/>
      <c r="AR107" s="354"/>
      <c r="AS107" s="354"/>
    </row>
    <row r="108" spans="2:45" ht="76.5" x14ac:dyDescent="0.25">
      <c r="B108" s="28" t="s">
        <v>1058</v>
      </c>
      <c r="C108" s="28" t="s">
        <v>1058</v>
      </c>
      <c r="D108" s="39" t="s">
        <v>1064</v>
      </c>
      <c r="E108" s="38" t="s">
        <v>1065</v>
      </c>
      <c r="F108" s="38" t="s">
        <v>1392</v>
      </c>
      <c r="G108" s="39" t="s">
        <v>1066</v>
      </c>
      <c r="H108" s="28" t="s">
        <v>747</v>
      </c>
      <c r="I108" s="28" t="s">
        <v>748</v>
      </c>
      <c r="J108" s="28" t="s">
        <v>749</v>
      </c>
      <c r="K108" s="26" t="s">
        <v>750</v>
      </c>
      <c r="L108" s="38" t="s">
        <v>785</v>
      </c>
      <c r="M108" s="40" t="s">
        <v>752</v>
      </c>
      <c r="N108" s="41">
        <v>2</v>
      </c>
      <c r="O108" s="370" t="str">
        <f t="shared" si="61"/>
        <v>Muy Baja</v>
      </c>
      <c r="P108" s="355">
        <f>+VLOOKUP(O108,Probabilidad!$B$5:$C$9,2,FALSE)</f>
        <v>0.2</v>
      </c>
      <c r="Q108" s="28" t="s">
        <v>770</v>
      </c>
      <c r="R108" s="371" t="str">
        <f>+VLOOKUP(Q108,Impacto!$B$5:$D$9,2,FALSE)</f>
        <v>Moderado</v>
      </c>
      <c r="S108" s="355">
        <f>+VLOOKUP(Q108,Impacto!$B$5:$D$9,3,FALSE)</f>
        <v>0.6</v>
      </c>
      <c r="T108" s="355">
        <f t="shared" si="62"/>
        <v>0.12</v>
      </c>
      <c r="U108" s="340" t="str">
        <f t="shared" si="51"/>
        <v>Moderado</v>
      </c>
      <c r="V108" s="40">
        <v>1</v>
      </c>
      <c r="W108" s="38" t="s">
        <v>1067</v>
      </c>
      <c r="X108" s="35" t="str">
        <f t="shared" si="67"/>
        <v>Probabilidad</v>
      </c>
      <c r="Y108" s="42" t="s">
        <v>755</v>
      </c>
      <c r="Z108" s="42" t="s">
        <v>756</v>
      </c>
      <c r="AA108" s="43" t="str">
        <f t="shared" si="63"/>
        <v>40%</v>
      </c>
      <c r="AB108" s="42" t="s">
        <v>738</v>
      </c>
      <c r="AC108" s="42" t="s">
        <v>757</v>
      </c>
      <c r="AD108" s="42" t="s">
        <v>758</v>
      </c>
      <c r="AE108" s="38" t="s">
        <v>1466</v>
      </c>
      <c r="AF108" s="355">
        <f>IFERROR(IF(X108="Probabilidad",(P108-(P108*AA108)),IF(X108="Impacto",P108,"")),"")</f>
        <v>0.12</v>
      </c>
      <c r="AG108" s="37" t="str">
        <f t="shared" si="64"/>
        <v>Muy Baja</v>
      </c>
      <c r="AH108" s="355">
        <f>IFERROR(IF(X108="Impacto",(S108-(S108*AA108)),IF(X108="Probabilidad",S108,"")),"")</f>
        <v>0.6</v>
      </c>
      <c r="AI108" s="37" t="str">
        <f t="shared" si="65"/>
        <v>Moderado</v>
      </c>
      <c r="AJ108" s="36">
        <f t="shared" si="66"/>
        <v>7.1999999999999995E-2</v>
      </c>
      <c r="AK108" s="340" t="str">
        <f t="shared" si="52"/>
        <v>Bajo</v>
      </c>
      <c r="AL108" s="365" t="str">
        <f t="shared" si="60"/>
        <v>Bajo</v>
      </c>
      <c r="AM108" s="26" t="s">
        <v>759</v>
      </c>
      <c r="AN108" s="354"/>
      <c r="AO108" s="354"/>
      <c r="AP108" s="354"/>
      <c r="AQ108" s="354"/>
      <c r="AR108" s="354"/>
      <c r="AS108" s="354"/>
    </row>
    <row r="109" spans="2:45" ht="76.5" x14ac:dyDescent="0.25">
      <c r="B109" s="28" t="s">
        <v>1058</v>
      </c>
      <c r="C109" s="28" t="s">
        <v>1058</v>
      </c>
      <c r="D109" s="39" t="s">
        <v>1068</v>
      </c>
      <c r="E109" s="38" t="s">
        <v>1665</v>
      </c>
      <c r="F109" s="38" t="s">
        <v>1393</v>
      </c>
      <c r="G109" s="39" t="s">
        <v>1069</v>
      </c>
      <c r="H109" s="28" t="s">
        <v>747</v>
      </c>
      <c r="I109" s="28" t="s">
        <v>748</v>
      </c>
      <c r="J109" s="28" t="s">
        <v>749</v>
      </c>
      <c r="K109" s="26" t="s">
        <v>750</v>
      </c>
      <c r="L109" s="38" t="s">
        <v>785</v>
      </c>
      <c r="M109" s="40" t="s">
        <v>752</v>
      </c>
      <c r="N109" s="41">
        <v>12</v>
      </c>
      <c r="O109" s="370" t="str">
        <f t="shared" si="61"/>
        <v>Baja</v>
      </c>
      <c r="P109" s="355">
        <f>+VLOOKUP(O109,Probabilidad!$B$5:$C$9,2,FALSE)</f>
        <v>0.4</v>
      </c>
      <c r="Q109" s="28" t="s">
        <v>753</v>
      </c>
      <c r="R109" s="371" t="str">
        <f>+VLOOKUP(Q109,Impacto!$B$5:$D$9,2,FALSE)</f>
        <v>Mayor</v>
      </c>
      <c r="S109" s="355">
        <f>+VLOOKUP(Q109,Impacto!$B$5:$D$9,3,FALSE)</f>
        <v>0.8</v>
      </c>
      <c r="T109" s="355">
        <f t="shared" si="62"/>
        <v>0.32000000000000006</v>
      </c>
      <c r="U109" s="340" t="str">
        <f t="shared" si="51"/>
        <v>Moderado</v>
      </c>
      <c r="V109" s="40">
        <v>1</v>
      </c>
      <c r="W109" s="38" t="s">
        <v>1070</v>
      </c>
      <c r="X109" s="35" t="str">
        <f t="shared" si="67"/>
        <v>Probabilidad</v>
      </c>
      <c r="Y109" s="42" t="s">
        <v>755</v>
      </c>
      <c r="Z109" s="42" t="s">
        <v>756</v>
      </c>
      <c r="AA109" s="43" t="str">
        <f t="shared" si="63"/>
        <v>40%</v>
      </c>
      <c r="AB109" s="42" t="s">
        <v>738</v>
      </c>
      <c r="AC109" s="42" t="s">
        <v>757</v>
      </c>
      <c r="AD109" s="42" t="s">
        <v>758</v>
      </c>
      <c r="AE109" s="38" t="s">
        <v>1071</v>
      </c>
      <c r="AF109" s="355">
        <f>IFERROR(IF(X109="Probabilidad",(P109-(P109*AA109)),IF(X109="Impacto",P109,"")),"")</f>
        <v>0.24</v>
      </c>
      <c r="AG109" s="37" t="str">
        <f t="shared" si="64"/>
        <v>Baja</v>
      </c>
      <c r="AH109" s="355">
        <f>IFERROR(IF(X109="Impacto",(S109-(S109*AA109)),IF(X109="Probabilidad",S109,"")),"")</f>
        <v>0.8</v>
      </c>
      <c r="AI109" s="37" t="str">
        <f t="shared" si="65"/>
        <v>Mayor</v>
      </c>
      <c r="AJ109" s="36">
        <f t="shared" si="66"/>
        <v>0.192</v>
      </c>
      <c r="AK109" s="340" t="str">
        <f t="shared" si="52"/>
        <v>Moderado</v>
      </c>
      <c r="AL109" s="365" t="str">
        <f t="shared" si="60"/>
        <v>Moderado</v>
      </c>
      <c r="AM109" s="26" t="s">
        <v>759</v>
      </c>
      <c r="AN109" s="354"/>
      <c r="AO109" s="354"/>
      <c r="AP109" s="354"/>
      <c r="AQ109" s="354"/>
      <c r="AR109" s="354"/>
      <c r="AS109" s="354"/>
    </row>
    <row r="110" spans="2:45" ht="63.75" x14ac:dyDescent="0.25">
      <c r="B110" s="554" t="s">
        <v>1058</v>
      </c>
      <c r="C110" s="554" t="s">
        <v>1058</v>
      </c>
      <c r="D110" s="558" t="s">
        <v>1072</v>
      </c>
      <c r="E110" s="558" t="s">
        <v>1073</v>
      </c>
      <c r="F110" s="558" t="s">
        <v>1502</v>
      </c>
      <c r="G110" s="558" t="s">
        <v>1074</v>
      </c>
      <c r="H110" s="554" t="s">
        <v>747</v>
      </c>
      <c r="I110" s="554" t="s">
        <v>1075</v>
      </c>
      <c r="J110" s="563" t="s">
        <v>749</v>
      </c>
      <c r="K110" s="563" t="s">
        <v>750</v>
      </c>
      <c r="L110" s="554" t="s">
        <v>785</v>
      </c>
      <c r="M110" s="563" t="s">
        <v>752</v>
      </c>
      <c r="N110" s="561">
        <v>128</v>
      </c>
      <c r="O110" s="573" t="str">
        <f t="shared" si="61"/>
        <v>Media</v>
      </c>
      <c r="P110" s="570">
        <f>+VLOOKUP(O110,Probabilidad!$B$5:$C$9,2,FALSE)</f>
        <v>0.6</v>
      </c>
      <c r="Q110" s="554" t="s">
        <v>1076</v>
      </c>
      <c r="R110" s="573" t="str">
        <f>+VLOOKUP(Q110,Impacto!$B$5:$D$9,2,FALSE)</f>
        <v>Catastrófico</v>
      </c>
      <c r="S110" s="570">
        <f>+VLOOKUP(Q110,Impacto!$B$5:$D$9,3,FALSE)</f>
        <v>1</v>
      </c>
      <c r="T110" s="570">
        <f>+P110*S110</f>
        <v>0.6</v>
      </c>
      <c r="U110" s="567" t="str">
        <f t="shared" si="51"/>
        <v>Alto</v>
      </c>
      <c r="V110" s="40">
        <v>1</v>
      </c>
      <c r="W110" s="38" t="s">
        <v>1077</v>
      </c>
      <c r="X110" s="35" t="str">
        <f t="shared" si="67"/>
        <v>Probabilidad</v>
      </c>
      <c r="Y110" s="42" t="s">
        <v>755</v>
      </c>
      <c r="Z110" s="42" t="s">
        <v>756</v>
      </c>
      <c r="AA110" s="43" t="str">
        <f t="shared" si="63"/>
        <v>40%</v>
      </c>
      <c r="AB110" s="42" t="s">
        <v>738</v>
      </c>
      <c r="AC110" s="42" t="s">
        <v>757</v>
      </c>
      <c r="AD110" s="42" t="s">
        <v>758</v>
      </c>
      <c r="AE110" s="38" t="s">
        <v>1061</v>
      </c>
      <c r="AF110" s="355">
        <f>IFERROR(IF(X110="Probabilidad",(P110-(P110*AA110)),IF(X110="Impacto",P110,"")),"")</f>
        <v>0.36</v>
      </c>
      <c r="AG110" s="37" t="str">
        <f t="shared" si="64"/>
        <v>Baja</v>
      </c>
      <c r="AH110" s="355">
        <f>IFERROR(IF(X110="Impacto",(S110-(S110*AA110)),IF(X110="Probabilidad",S110,"")),"")</f>
        <v>1</v>
      </c>
      <c r="AI110" s="37" t="str">
        <f t="shared" si="65"/>
        <v>Catastrófico</v>
      </c>
      <c r="AJ110" s="36">
        <f>+AF110*AH110</f>
        <v>0.36</v>
      </c>
      <c r="AK110" s="340" t="str">
        <f t="shared" si="52"/>
        <v>Moderado</v>
      </c>
      <c r="AL110" s="614" t="str">
        <f>+AK111</f>
        <v>Moderado</v>
      </c>
      <c r="AM110" s="26" t="s">
        <v>759</v>
      </c>
      <c r="AN110" s="354"/>
      <c r="AO110" s="354"/>
      <c r="AP110" s="354"/>
      <c r="AQ110" s="354"/>
      <c r="AR110" s="354"/>
      <c r="AS110" s="354"/>
    </row>
    <row r="111" spans="2:45" ht="57.75" customHeight="1" x14ac:dyDescent="0.25">
      <c r="B111" s="555"/>
      <c r="C111" s="555"/>
      <c r="D111" s="558"/>
      <c r="E111" s="558"/>
      <c r="F111" s="558"/>
      <c r="G111" s="558"/>
      <c r="H111" s="555"/>
      <c r="I111" s="555"/>
      <c r="J111" s="564"/>
      <c r="K111" s="564"/>
      <c r="L111" s="555"/>
      <c r="M111" s="564"/>
      <c r="N111" s="561"/>
      <c r="O111" s="575"/>
      <c r="P111" s="572"/>
      <c r="Q111" s="555"/>
      <c r="R111" s="575" t="e">
        <f>+VLOOKUP(Q111,Impacto!$B$5:$D$9,2,FALSE)</f>
        <v>#N/A</v>
      </c>
      <c r="S111" s="572" t="e">
        <f>+VLOOKUP(Q111,Impacto!$B$5:$D$9,3,FALSE)</f>
        <v>#N/A</v>
      </c>
      <c r="T111" s="572"/>
      <c r="U111" s="569" t="str">
        <f t="shared" si="51"/>
        <v>Bajo</v>
      </c>
      <c r="V111" s="40">
        <v>2</v>
      </c>
      <c r="W111" s="38" t="s">
        <v>1078</v>
      </c>
      <c r="X111" s="35" t="str">
        <f t="shared" si="67"/>
        <v>Probabilidad</v>
      </c>
      <c r="Y111" s="42" t="s">
        <v>755</v>
      </c>
      <c r="Z111" s="42" t="s">
        <v>756</v>
      </c>
      <c r="AA111" s="43" t="str">
        <f t="shared" si="63"/>
        <v>40%</v>
      </c>
      <c r="AB111" s="42" t="s">
        <v>738</v>
      </c>
      <c r="AC111" s="42" t="s">
        <v>757</v>
      </c>
      <c r="AD111" s="42" t="s">
        <v>758</v>
      </c>
      <c r="AE111" s="38" t="s">
        <v>1063</v>
      </c>
      <c r="AF111" s="27">
        <f>IFERROR(IF(AND(X110="Probabilidad",X111="Probabilidad"),(AF110-(+AF110*AA111)),IF(X111="Probabilidad",(P110-(P110*AA111)),IF(X111="Impacto",P110,""))),"")</f>
        <v>0.216</v>
      </c>
      <c r="AG111" s="37" t="str">
        <f>IFERROR(IF(AF111="","",IF(AF111&lt;=0.2,"Muy Baja",IF(AF111&lt;=0.4,"Baja",IF(AF111&lt;=0.6,"Media",IF(AF111&lt;=0.8,"Alta","Muy Alta"))))),"")</f>
        <v>Baja</v>
      </c>
      <c r="AH111" s="27">
        <f>IFERROR(IF(AND(X110="Impacto",X111="Impacto"),(AH110-(+AH110*AA111)),IF(X111="Impacto",(S110-(+S110*AA111)),IF(X111="Probabilidad",AH110,""))),"")</f>
        <v>1</v>
      </c>
      <c r="AI111" s="37" t="str">
        <f>IFERROR(IF(AH111="","",IF(AH111&lt;=0.2,"Leve",IF(AH111&lt;=0.4,"Menor",IF(AH111&lt;=0.6,"Moderado",IF(AH111&lt;=0.8,"Mayor","Catastrófico"))))),"")</f>
        <v>Catastrófico</v>
      </c>
      <c r="AJ111" s="36">
        <f>+AF111*AH111</f>
        <v>0.216</v>
      </c>
      <c r="AK111" s="340" t="str">
        <f t="shared" si="52"/>
        <v>Moderado</v>
      </c>
      <c r="AL111" s="616"/>
      <c r="AM111" s="26" t="s">
        <v>759</v>
      </c>
      <c r="AN111" s="354"/>
      <c r="AO111" s="354"/>
      <c r="AP111" s="354"/>
      <c r="AQ111" s="354"/>
      <c r="AR111" s="354"/>
      <c r="AS111" s="354"/>
    </row>
    <row r="112" spans="2:45" ht="76.5" x14ac:dyDescent="0.25">
      <c r="B112" s="28" t="s">
        <v>1058</v>
      </c>
      <c r="C112" s="28" t="s">
        <v>1058</v>
      </c>
      <c r="D112" s="39" t="s">
        <v>1079</v>
      </c>
      <c r="E112" s="38" t="s">
        <v>1080</v>
      </c>
      <c r="F112" s="38" t="s">
        <v>1081</v>
      </c>
      <c r="G112" s="38" t="s">
        <v>1464</v>
      </c>
      <c r="H112" s="28" t="s">
        <v>991</v>
      </c>
      <c r="I112" s="28" t="s">
        <v>748</v>
      </c>
      <c r="J112" s="28" t="s">
        <v>749</v>
      </c>
      <c r="K112" s="26" t="s">
        <v>750</v>
      </c>
      <c r="L112" s="38" t="s">
        <v>785</v>
      </c>
      <c r="M112" s="40" t="s">
        <v>752</v>
      </c>
      <c r="N112" s="41">
        <v>250</v>
      </c>
      <c r="O112" s="370" t="str">
        <f t="shared" si="61"/>
        <v>Media</v>
      </c>
      <c r="P112" s="355">
        <f>+VLOOKUP(O112,Probabilidad!$B$5:$C$9,2,FALSE)</f>
        <v>0.6</v>
      </c>
      <c r="Q112" s="28" t="s">
        <v>770</v>
      </c>
      <c r="R112" s="371" t="str">
        <f>+VLOOKUP(Q112,Impacto!$B$5:$D$9,2,FALSE)</f>
        <v>Moderado</v>
      </c>
      <c r="S112" s="355">
        <f>+VLOOKUP(Q112,Impacto!$B$5:$D$9,3,FALSE)</f>
        <v>0.6</v>
      </c>
      <c r="T112" s="355">
        <f t="shared" si="62"/>
        <v>0.36</v>
      </c>
      <c r="U112" s="340" t="str">
        <f t="shared" si="51"/>
        <v>Moderado</v>
      </c>
      <c r="V112" s="40">
        <v>1</v>
      </c>
      <c r="W112" s="38" t="s">
        <v>1082</v>
      </c>
      <c r="X112" s="35" t="str">
        <f t="shared" si="67"/>
        <v>Probabilidad</v>
      </c>
      <c r="Y112" s="42" t="s">
        <v>755</v>
      </c>
      <c r="Z112" s="42" t="s">
        <v>756</v>
      </c>
      <c r="AA112" s="43" t="str">
        <f t="shared" si="63"/>
        <v>40%</v>
      </c>
      <c r="AB112" s="42" t="s">
        <v>738</v>
      </c>
      <c r="AC112" s="42" t="s">
        <v>757</v>
      </c>
      <c r="AD112" s="42" t="s">
        <v>758</v>
      </c>
      <c r="AE112" s="38" t="s">
        <v>1465</v>
      </c>
      <c r="AF112" s="355">
        <f t="shared" ref="AF112:AF119" si="68">IFERROR(IF(X112="Probabilidad",(P112-(P112*AA112)),IF(X112="Impacto",P112,"")),"")</f>
        <v>0.36</v>
      </c>
      <c r="AG112" s="37" t="str">
        <f t="shared" si="64"/>
        <v>Baja</v>
      </c>
      <c r="AH112" s="355">
        <f t="shared" ref="AH112:AH119" si="69">IFERROR(IF(X112="Impacto",(S112-(S112*AA112)),IF(X112="Probabilidad",S112,"")),"")</f>
        <v>0.6</v>
      </c>
      <c r="AI112" s="37" t="str">
        <f t="shared" si="65"/>
        <v>Moderado</v>
      </c>
      <c r="AJ112" s="36">
        <f t="shared" si="66"/>
        <v>0.216</v>
      </c>
      <c r="AK112" s="340" t="str">
        <f t="shared" si="52"/>
        <v>Moderado</v>
      </c>
      <c r="AL112" s="365" t="str">
        <f t="shared" si="60"/>
        <v>Moderado</v>
      </c>
      <c r="AM112" s="26" t="s">
        <v>759</v>
      </c>
      <c r="AN112" s="354"/>
      <c r="AO112" s="354"/>
      <c r="AP112" s="354"/>
      <c r="AQ112" s="354"/>
      <c r="AR112" s="354"/>
      <c r="AS112" s="354"/>
    </row>
    <row r="113" spans="2:45" ht="105.75" customHeight="1" x14ac:dyDescent="0.25">
      <c r="B113" s="28" t="s">
        <v>1058</v>
      </c>
      <c r="C113" s="28" t="s">
        <v>1058</v>
      </c>
      <c r="D113" s="39" t="s">
        <v>1083</v>
      </c>
      <c r="E113" s="38" t="s">
        <v>1084</v>
      </c>
      <c r="F113" s="38" t="s">
        <v>1085</v>
      </c>
      <c r="G113" s="39" t="s">
        <v>1456</v>
      </c>
      <c r="H113" s="28" t="s">
        <v>991</v>
      </c>
      <c r="I113" s="28" t="s">
        <v>748</v>
      </c>
      <c r="J113" s="28" t="s">
        <v>749</v>
      </c>
      <c r="K113" s="26" t="s">
        <v>750</v>
      </c>
      <c r="L113" s="38" t="s">
        <v>992</v>
      </c>
      <c r="M113" s="40" t="s">
        <v>752</v>
      </c>
      <c r="N113" s="41">
        <v>2</v>
      </c>
      <c r="O113" s="370" t="str">
        <f t="shared" si="61"/>
        <v>Muy Baja</v>
      </c>
      <c r="P113" s="355">
        <f>+VLOOKUP(O113,Probabilidad!$B$5:$C$9,2,FALSE)</f>
        <v>0.2</v>
      </c>
      <c r="Q113" s="28" t="s">
        <v>770</v>
      </c>
      <c r="R113" s="371" t="str">
        <f>+VLOOKUP(Q113,Impacto!$B$5:$D$9,2,FALSE)</f>
        <v>Moderado</v>
      </c>
      <c r="S113" s="355">
        <f>+VLOOKUP(Q113,Impacto!$B$5:$D$9,3,FALSE)</f>
        <v>0.6</v>
      </c>
      <c r="T113" s="355">
        <f t="shared" si="62"/>
        <v>0.12</v>
      </c>
      <c r="U113" s="340" t="str">
        <f t="shared" si="51"/>
        <v>Moderado</v>
      </c>
      <c r="V113" s="40">
        <v>1</v>
      </c>
      <c r="W113" s="38" t="s">
        <v>1086</v>
      </c>
      <c r="X113" s="35" t="str">
        <f t="shared" si="67"/>
        <v>Probabilidad</v>
      </c>
      <c r="Y113" s="42" t="s">
        <v>755</v>
      </c>
      <c r="Z113" s="42" t="s">
        <v>756</v>
      </c>
      <c r="AA113" s="43" t="str">
        <f t="shared" si="63"/>
        <v>40%</v>
      </c>
      <c r="AB113" s="42" t="s">
        <v>738</v>
      </c>
      <c r="AC113" s="42" t="s">
        <v>757</v>
      </c>
      <c r="AD113" s="42" t="s">
        <v>758</v>
      </c>
      <c r="AE113" s="38" t="s">
        <v>1466</v>
      </c>
      <c r="AF113" s="355">
        <f t="shared" si="68"/>
        <v>0.12</v>
      </c>
      <c r="AG113" s="37" t="str">
        <f t="shared" si="64"/>
        <v>Muy Baja</v>
      </c>
      <c r="AH113" s="355">
        <f t="shared" si="69"/>
        <v>0.6</v>
      </c>
      <c r="AI113" s="37" t="str">
        <f t="shared" si="65"/>
        <v>Moderado</v>
      </c>
      <c r="AJ113" s="36">
        <f t="shared" si="66"/>
        <v>7.1999999999999995E-2</v>
      </c>
      <c r="AK113" s="340" t="str">
        <f t="shared" si="52"/>
        <v>Bajo</v>
      </c>
      <c r="AL113" s="365" t="str">
        <f t="shared" si="60"/>
        <v>Bajo</v>
      </c>
      <c r="AM113" s="26" t="s">
        <v>759</v>
      </c>
      <c r="AN113" s="354"/>
      <c r="AO113" s="354"/>
      <c r="AP113" s="354"/>
      <c r="AQ113" s="354"/>
      <c r="AR113" s="354"/>
      <c r="AS113" s="354"/>
    </row>
    <row r="114" spans="2:45" ht="132" customHeight="1" x14ac:dyDescent="0.25">
      <c r="B114" s="28" t="s">
        <v>1087</v>
      </c>
      <c r="C114" s="28" t="s">
        <v>1087</v>
      </c>
      <c r="D114" s="39" t="s">
        <v>1088</v>
      </c>
      <c r="E114" s="38" t="s">
        <v>1664</v>
      </c>
      <c r="F114" s="38" t="s">
        <v>1394</v>
      </c>
      <c r="G114" s="39" t="s">
        <v>1089</v>
      </c>
      <c r="H114" s="28" t="s">
        <v>747</v>
      </c>
      <c r="I114" s="28" t="s">
        <v>748</v>
      </c>
      <c r="J114" s="28" t="s">
        <v>749</v>
      </c>
      <c r="K114" s="26" t="s">
        <v>750</v>
      </c>
      <c r="L114" s="38" t="s">
        <v>785</v>
      </c>
      <c r="M114" s="40" t="s">
        <v>752</v>
      </c>
      <c r="N114" s="41">
        <v>755</v>
      </c>
      <c r="O114" s="370" t="str">
        <f t="shared" si="61"/>
        <v>Alta</v>
      </c>
      <c r="P114" s="355">
        <f>+VLOOKUP(O114,Probabilidad!$B$5:$C$9,2,FALSE)</f>
        <v>0.8</v>
      </c>
      <c r="Q114" s="28" t="s">
        <v>1076</v>
      </c>
      <c r="R114" s="371" t="str">
        <f>+VLOOKUP(Q114,Impacto!$B$5:$D$9,2,FALSE)</f>
        <v>Catastrófico</v>
      </c>
      <c r="S114" s="355">
        <f>+VLOOKUP(Q114,Impacto!$B$5:$D$9,3,FALSE)</f>
        <v>1</v>
      </c>
      <c r="T114" s="355">
        <f t="shared" si="62"/>
        <v>0.8</v>
      </c>
      <c r="U114" s="340" t="str">
        <f t="shared" si="51"/>
        <v>Extremo</v>
      </c>
      <c r="V114" s="40">
        <v>1</v>
      </c>
      <c r="W114" s="38" t="s">
        <v>1090</v>
      </c>
      <c r="X114" s="35" t="str">
        <f t="shared" si="67"/>
        <v>Probabilidad</v>
      </c>
      <c r="Y114" s="42" t="s">
        <v>755</v>
      </c>
      <c r="Z114" s="42" t="s">
        <v>756</v>
      </c>
      <c r="AA114" s="43" t="str">
        <f t="shared" si="63"/>
        <v>40%</v>
      </c>
      <c r="AB114" s="42" t="s">
        <v>738</v>
      </c>
      <c r="AC114" s="42" t="s">
        <v>757</v>
      </c>
      <c r="AD114" s="42" t="s">
        <v>758</v>
      </c>
      <c r="AE114" s="38" t="s">
        <v>1467</v>
      </c>
      <c r="AF114" s="355">
        <f t="shared" si="68"/>
        <v>0.48</v>
      </c>
      <c r="AG114" s="37" t="str">
        <f t="shared" si="64"/>
        <v>Media</v>
      </c>
      <c r="AH114" s="355">
        <f t="shared" si="69"/>
        <v>1</v>
      </c>
      <c r="AI114" s="37" t="str">
        <f t="shared" si="65"/>
        <v>Catastrófico</v>
      </c>
      <c r="AJ114" s="36">
        <f t="shared" si="66"/>
        <v>0.48</v>
      </c>
      <c r="AK114" s="340" t="str">
        <f t="shared" si="52"/>
        <v>Alto</v>
      </c>
      <c r="AL114" s="365" t="str">
        <f t="shared" si="60"/>
        <v>Alto</v>
      </c>
      <c r="AM114" s="26" t="s">
        <v>759</v>
      </c>
      <c r="AN114" s="354"/>
      <c r="AO114" s="354"/>
      <c r="AP114" s="354"/>
      <c r="AQ114" s="354"/>
      <c r="AR114" s="354"/>
      <c r="AS114" s="354"/>
    </row>
    <row r="115" spans="2:45" ht="82.5" customHeight="1" x14ac:dyDescent="0.25">
      <c r="B115" s="28" t="s">
        <v>1087</v>
      </c>
      <c r="C115" s="28" t="s">
        <v>1087</v>
      </c>
      <c r="D115" s="39" t="s">
        <v>1091</v>
      </c>
      <c r="E115" s="38" t="s">
        <v>1092</v>
      </c>
      <c r="F115" s="38" t="s">
        <v>1395</v>
      </c>
      <c r="G115" s="39" t="s">
        <v>1093</v>
      </c>
      <c r="H115" s="28" t="s">
        <v>747</v>
      </c>
      <c r="I115" s="28" t="s">
        <v>748</v>
      </c>
      <c r="J115" s="28" t="s">
        <v>749</v>
      </c>
      <c r="K115" s="26" t="s">
        <v>750</v>
      </c>
      <c r="L115" s="38" t="s">
        <v>751</v>
      </c>
      <c r="M115" s="40" t="s">
        <v>752</v>
      </c>
      <c r="N115" s="41">
        <v>755</v>
      </c>
      <c r="O115" s="370" t="str">
        <f t="shared" si="61"/>
        <v>Alta</v>
      </c>
      <c r="P115" s="355">
        <f>+VLOOKUP(O115,Probabilidad!$B$5:$C$9,2,FALSE)</f>
        <v>0.8</v>
      </c>
      <c r="Q115" s="28" t="s">
        <v>753</v>
      </c>
      <c r="R115" s="371" t="str">
        <f>+VLOOKUP(Q115,Impacto!$B$5:$D$9,2,FALSE)</f>
        <v>Mayor</v>
      </c>
      <c r="S115" s="355">
        <f>+VLOOKUP(Q115,Impacto!$B$5:$D$9,3,FALSE)</f>
        <v>0.8</v>
      </c>
      <c r="T115" s="355">
        <f t="shared" si="62"/>
        <v>0.64000000000000012</v>
      </c>
      <c r="U115" s="340" t="str">
        <f t="shared" si="51"/>
        <v>Alto</v>
      </c>
      <c r="V115" s="40">
        <v>1</v>
      </c>
      <c r="W115" s="38" t="s">
        <v>1396</v>
      </c>
      <c r="X115" s="35" t="str">
        <f t="shared" si="67"/>
        <v>Probabilidad</v>
      </c>
      <c r="Y115" s="42" t="s">
        <v>755</v>
      </c>
      <c r="Z115" s="42" t="s">
        <v>756</v>
      </c>
      <c r="AA115" s="43" t="str">
        <f t="shared" si="63"/>
        <v>40%</v>
      </c>
      <c r="AB115" s="42" t="s">
        <v>738</v>
      </c>
      <c r="AC115" s="42" t="s">
        <v>757</v>
      </c>
      <c r="AD115" s="42" t="s">
        <v>758</v>
      </c>
      <c r="AE115" s="38" t="s">
        <v>1468</v>
      </c>
      <c r="AF115" s="355">
        <f t="shared" si="68"/>
        <v>0.48</v>
      </c>
      <c r="AG115" s="37" t="str">
        <f t="shared" ref="AG115:AG128" si="70">IFERROR(IF(AF115="","",IF(AF115&lt;=0.2,"Muy Baja",IF(AF115&lt;=0.4,"Baja",IF(AF115&lt;=0.6,"Media",IF(AF115&lt;=0.8,"Alta","Muy Alta"))))),"")</f>
        <v>Media</v>
      </c>
      <c r="AH115" s="355">
        <f t="shared" si="69"/>
        <v>0.8</v>
      </c>
      <c r="AI115" s="37" t="str">
        <f t="shared" ref="AI115:AI128" si="71">IFERROR(IF(AH115="","",IF(AH115&lt;=0.2,"Leve",IF(AH115&lt;=0.4,"Menor",IF(AH115&lt;=0.6,"Moderado",IF(AH115&lt;=0.8,"Mayor","Catastrófico"))))),"")</f>
        <v>Mayor</v>
      </c>
      <c r="AJ115" s="36">
        <f t="shared" ref="AJ115:AJ128" si="72">+AF115*AH115</f>
        <v>0.38400000000000001</v>
      </c>
      <c r="AK115" s="340" t="str">
        <f t="shared" si="52"/>
        <v>Moderado</v>
      </c>
      <c r="AL115" s="365" t="str">
        <f t="shared" si="60"/>
        <v>Moderado</v>
      </c>
      <c r="AM115" s="26" t="s">
        <v>759</v>
      </c>
      <c r="AN115" s="354"/>
      <c r="AO115" s="354"/>
      <c r="AP115" s="354"/>
      <c r="AQ115" s="354"/>
      <c r="AR115" s="354"/>
      <c r="AS115" s="354"/>
    </row>
    <row r="116" spans="2:45" ht="76.5" x14ac:dyDescent="0.25">
      <c r="B116" s="28" t="s">
        <v>1087</v>
      </c>
      <c r="C116" s="28" t="s">
        <v>1087</v>
      </c>
      <c r="D116" s="39" t="s">
        <v>1094</v>
      </c>
      <c r="E116" s="38" t="s">
        <v>1095</v>
      </c>
      <c r="F116" s="38" t="s">
        <v>1397</v>
      </c>
      <c r="G116" s="39" t="s">
        <v>1096</v>
      </c>
      <c r="H116" s="28" t="s">
        <v>747</v>
      </c>
      <c r="I116" s="28" t="s">
        <v>748</v>
      </c>
      <c r="J116" s="28" t="s">
        <v>749</v>
      </c>
      <c r="K116" s="26" t="s">
        <v>750</v>
      </c>
      <c r="L116" s="38" t="s">
        <v>751</v>
      </c>
      <c r="M116" s="40" t="s">
        <v>752</v>
      </c>
      <c r="N116" s="41">
        <v>755</v>
      </c>
      <c r="O116" s="370" t="str">
        <f t="shared" si="61"/>
        <v>Alta</v>
      </c>
      <c r="P116" s="355">
        <f>+VLOOKUP(O116,Probabilidad!$B$5:$C$9,2,FALSE)</f>
        <v>0.8</v>
      </c>
      <c r="Q116" s="28" t="s">
        <v>753</v>
      </c>
      <c r="R116" s="371" t="str">
        <f>+VLOOKUP(Q116,Impacto!$B$5:$D$9,2,FALSE)</f>
        <v>Mayor</v>
      </c>
      <c r="S116" s="355">
        <f>+VLOOKUP(Q116,Impacto!$B$5:$D$9,3,FALSE)</f>
        <v>0.8</v>
      </c>
      <c r="T116" s="355">
        <f t="shared" si="62"/>
        <v>0.64000000000000012</v>
      </c>
      <c r="U116" s="340" t="str">
        <f t="shared" si="51"/>
        <v>Alto</v>
      </c>
      <c r="V116" s="40">
        <v>1</v>
      </c>
      <c r="W116" s="38" t="s">
        <v>1097</v>
      </c>
      <c r="X116" s="35" t="str">
        <f t="shared" si="67"/>
        <v>Probabilidad</v>
      </c>
      <c r="Y116" s="42" t="s">
        <v>755</v>
      </c>
      <c r="Z116" s="42" t="s">
        <v>756</v>
      </c>
      <c r="AA116" s="43" t="str">
        <f t="shared" si="63"/>
        <v>40%</v>
      </c>
      <c r="AB116" s="42" t="s">
        <v>738</v>
      </c>
      <c r="AC116" s="42" t="s">
        <v>757</v>
      </c>
      <c r="AD116" s="42" t="s">
        <v>758</v>
      </c>
      <c r="AE116" s="38" t="s">
        <v>1720</v>
      </c>
      <c r="AF116" s="355">
        <f t="shared" si="68"/>
        <v>0.48</v>
      </c>
      <c r="AG116" s="37" t="str">
        <f t="shared" si="70"/>
        <v>Media</v>
      </c>
      <c r="AH116" s="355">
        <f t="shared" si="69"/>
        <v>0.8</v>
      </c>
      <c r="AI116" s="37" t="str">
        <f t="shared" si="71"/>
        <v>Mayor</v>
      </c>
      <c r="AJ116" s="36">
        <f t="shared" si="72"/>
        <v>0.38400000000000001</v>
      </c>
      <c r="AK116" s="340" t="str">
        <f t="shared" si="52"/>
        <v>Moderado</v>
      </c>
      <c r="AL116" s="365" t="str">
        <f t="shared" si="60"/>
        <v>Moderado</v>
      </c>
      <c r="AM116" s="26" t="s">
        <v>1276</v>
      </c>
      <c r="AN116" s="354"/>
      <c r="AO116" s="354"/>
      <c r="AP116" s="354"/>
      <c r="AQ116" s="354"/>
      <c r="AR116" s="354"/>
      <c r="AS116" s="354"/>
    </row>
    <row r="117" spans="2:45" ht="89.25" x14ac:dyDescent="0.25">
      <c r="B117" s="28" t="s">
        <v>1087</v>
      </c>
      <c r="C117" s="28" t="s">
        <v>1087</v>
      </c>
      <c r="D117" s="39" t="s">
        <v>1098</v>
      </c>
      <c r="E117" s="38" t="s">
        <v>1099</v>
      </c>
      <c r="F117" s="38" t="s">
        <v>1398</v>
      </c>
      <c r="G117" s="39" t="s">
        <v>1100</v>
      </c>
      <c r="H117" s="28" t="s">
        <v>747</v>
      </c>
      <c r="I117" s="28" t="s">
        <v>748</v>
      </c>
      <c r="J117" s="28" t="s">
        <v>749</v>
      </c>
      <c r="K117" s="26" t="s">
        <v>750</v>
      </c>
      <c r="L117" s="38" t="s">
        <v>751</v>
      </c>
      <c r="M117" s="40" t="s">
        <v>752</v>
      </c>
      <c r="N117" s="41">
        <v>755</v>
      </c>
      <c r="O117" s="370" t="str">
        <f>IF(N117&lt;=0,"",IF(N117&lt;=2,"Muy Baja",IF(N117&lt;=24,"Baja",IF(N117&lt;=500,"Media",IF(N117&lt;=5000,"Alta","Muy Alta")))))</f>
        <v>Alta</v>
      </c>
      <c r="P117" s="355">
        <f>+VLOOKUP(O117,Probabilidad!$B$5:$C$9,2,FALSE)</f>
        <v>0.8</v>
      </c>
      <c r="Q117" s="28" t="s">
        <v>835</v>
      </c>
      <c r="R117" s="371" t="str">
        <f>+VLOOKUP(Q117,Impacto!$B$5:$D$9,2,FALSE)</f>
        <v>Menor</v>
      </c>
      <c r="S117" s="355">
        <f>+VLOOKUP(Q117,Impacto!$B$5:$D$9,3,FALSE)</f>
        <v>0.4</v>
      </c>
      <c r="T117" s="355">
        <f>+P117*S117</f>
        <v>0.32000000000000006</v>
      </c>
      <c r="U117" s="340" t="str">
        <f t="shared" si="51"/>
        <v>Moderado</v>
      </c>
      <c r="V117" s="40">
        <v>1</v>
      </c>
      <c r="W117" s="38" t="s">
        <v>1101</v>
      </c>
      <c r="X117" s="35" t="str">
        <f t="shared" ref="X117:X122" si="73">IF(OR(Y117="Preventivo",Y117="Detectivo"),"Probabilidad",IF(Y117="Correctivo","Impacto",""))</f>
        <v>Probabilidad</v>
      </c>
      <c r="Y117" s="42" t="s">
        <v>755</v>
      </c>
      <c r="Z117" s="42" t="s">
        <v>756</v>
      </c>
      <c r="AA117" s="43" t="str">
        <f t="shared" ref="AA117:AA122" si="74">IF(AND(Y117="Preventivo",Z117="Automático"),"50%",IF(AND(Y117="Preventivo",Z117="Manual"),"40%",IF(AND(Y117="Detectivo",Z117="Automático"),"40%",IF(AND(Y117="Detectivo",Z117="Manual"),"30%",IF(AND(Y117="Correctivo",Z117="Automático"),"35%",IF(AND(Y117="Correctivo",Z117="Manual"),"25%",""))))))</f>
        <v>40%</v>
      </c>
      <c r="AB117" s="42" t="s">
        <v>738</v>
      </c>
      <c r="AC117" s="42" t="s">
        <v>757</v>
      </c>
      <c r="AD117" s="42" t="s">
        <v>758</v>
      </c>
      <c r="AE117" s="38" t="s">
        <v>1470</v>
      </c>
      <c r="AF117" s="355">
        <f t="shared" si="68"/>
        <v>0.48</v>
      </c>
      <c r="AG117" s="37" t="str">
        <f t="shared" si="70"/>
        <v>Media</v>
      </c>
      <c r="AH117" s="355">
        <f t="shared" si="69"/>
        <v>0.4</v>
      </c>
      <c r="AI117" s="37" t="str">
        <f t="shared" si="71"/>
        <v>Menor</v>
      </c>
      <c r="AJ117" s="36">
        <f t="shared" si="72"/>
        <v>0.192</v>
      </c>
      <c r="AK117" s="340" t="str">
        <f t="shared" si="52"/>
        <v>Moderado</v>
      </c>
      <c r="AL117" s="365" t="str">
        <f t="shared" si="60"/>
        <v>Moderado</v>
      </c>
      <c r="AM117" s="26" t="s">
        <v>759</v>
      </c>
      <c r="AN117" s="354"/>
      <c r="AO117" s="354"/>
      <c r="AP117" s="354"/>
      <c r="AQ117" s="354"/>
      <c r="AR117" s="354"/>
      <c r="AS117" s="354"/>
    </row>
    <row r="118" spans="2:45" ht="76.5" x14ac:dyDescent="0.25">
      <c r="B118" s="28" t="s">
        <v>1087</v>
      </c>
      <c r="C118" s="28" t="s">
        <v>1087</v>
      </c>
      <c r="D118" s="39" t="s">
        <v>1102</v>
      </c>
      <c r="E118" s="39" t="s">
        <v>1103</v>
      </c>
      <c r="F118" s="39" t="s">
        <v>1425</v>
      </c>
      <c r="G118" s="39" t="s">
        <v>1469</v>
      </c>
      <c r="H118" s="28" t="s">
        <v>991</v>
      </c>
      <c r="I118" s="28" t="s">
        <v>748</v>
      </c>
      <c r="J118" s="28" t="s">
        <v>749</v>
      </c>
      <c r="K118" s="26" t="s">
        <v>750</v>
      </c>
      <c r="L118" s="38" t="s">
        <v>785</v>
      </c>
      <c r="M118" s="40" t="s">
        <v>752</v>
      </c>
      <c r="N118" s="41">
        <v>755</v>
      </c>
      <c r="O118" s="370" t="str">
        <f>IF(N118&lt;=0,"",IF(N118&lt;=2,"Muy Baja",IF(N118&lt;=24,"Baja",IF(N118&lt;=500,"Media",IF(N118&lt;=5000,"Alta","Muy Alta")))))</f>
        <v>Alta</v>
      </c>
      <c r="P118" s="355">
        <f>+VLOOKUP(O118,Probabilidad!$B$5:$C$9,2,FALSE)</f>
        <v>0.8</v>
      </c>
      <c r="Q118" s="28" t="s">
        <v>770</v>
      </c>
      <c r="R118" s="371" t="str">
        <f>+VLOOKUP(Q118,Impacto!$B$5:$D$9,2,FALSE)</f>
        <v>Moderado</v>
      </c>
      <c r="S118" s="355">
        <f>+VLOOKUP(Q118,Impacto!$B$5:$D$9,3,FALSE)</f>
        <v>0.6</v>
      </c>
      <c r="T118" s="355">
        <f>+P118*S118</f>
        <v>0.48</v>
      </c>
      <c r="U118" s="340" t="str">
        <f t="shared" si="51"/>
        <v>Alto</v>
      </c>
      <c r="V118" s="357">
        <v>1</v>
      </c>
      <c r="W118" s="38" t="s">
        <v>1104</v>
      </c>
      <c r="X118" s="35" t="str">
        <f t="shared" si="73"/>
        <v>Probabilidad</v>
      </c>
      <c r="Y118" s="42" t="s">
        <v>755</v>
      </c>
      <c r="Z118" s="42" t="s">
        <v>756</v>
      </c>
      <c r="AA118" s="43" t="str">
        <f t="shared" si="74"/>
        <v>40%</v>
      </c>
      <c r="AB118" s="42" t="s">
        <v>738</v>
      </c>
      <c r="AC118" s="42" t="s">
        <v>757</v>
      </c>
      <c r="AD118" s="42" t="s">
        <v>758</v>
      </c>
      <c r="AE118" s="38" t="s">
        <v>1105</v>
      </c>
      <c r="AF118" s="355">
        <f t="shared" si="68"/>
        <v>0.48</v>
      </c>
      <c r="AG118" s="37" t="str">
        <f t="shared" si="70"/>
        <v>Media</v>
      </c>
      <c r="AH118" s="355">
        <f t="shared" si="69"/>
        <v>0.6</v>
      </c>
      <c r="AI118" s="37" t="str">
        <f t="shared" si="71"/>
        <v>Moderado</v>
      </c>
      <c r="AJ118" s="36">
        <f t="shared" si="72"/>
        <v>0.28799999999999998</v>
      </c>
      <c r="AK118" s="340" t="str">
        <f t="shared" si="52"/>
        <v>Moderado</v>
      </c>
      <c r="AL118" s="365" t="str">
        <f t="shared" si="60"/>
        <v>Moderado</v>
      </c>
      <c r="AM118" s="26" t="s">
        <v>1276</v>
      </c>
      <c r="AN118" s="354"/>
      <c r="AO118" s="354"/>
      <c r="AP118" s="354"/>
      <c r="AQ118" s="354"/>
      <c r="AR118" s="354"/>
      <c r="AS118" s="354"/>
    </row>
    <row r="119" spans="2:45" ht="98.25" customHeight="1" x14ac:dyDescent="0.25">
      <c r="B119" s="554" t="s">
        <v>1087</v>
      </c>
      <c r="C119" s="554" t="s">
        <v>1087</v>
      </c>
      <c r="D119" s="558" t="s">
        <v>1106</v>
      </c>
      <c r="E119" s="558" t="s">
        <v>1399</v>
      </c>
      <c r="F119" s="558" t="s">
        <v>1107</v>
      </c>
      <c r="G119" s="558" t="s">
        <v>1108</v>
      </c>
      <c r="H119" s="554" t="s">
        <v>747</v>
      </c>
      <c r="I119" s="554" t="s">
        <v>748</v>
      </c>
      <c r="J119" s="554" t="s">
        <v>1109</v>
      </c>
      <c r="K119" s="563" t="s">
        <v>779</v>
      </c>
      <c r="L119" s="560" t="s">
        <v>785</v>
      </c>
      <c r="M119" s="563" t="s">
        <v>752</v>
      </c>
      <c r="N119" s="583">
        <v>10</v>
      </c>
      <c r="O119" s="573" t="str">
        <f>IF(N119&lt;=0,"",IF(N119&lt;=2,"Muy Baja",IF(N119&lt;=24,"Baja",IF(N119&lt;=500,"Media",IF(N119&lt;=5000,"Alta","Muy Alta")))))</f>
        <v>Baja</v>
      </c>
      <c r="P119" s="570">
        <f>+VLOOKUP(O119,Probabilidad!$B$5:$C$9,2,FALSE)</f>
        <v>0.4</v>
      </c>
      <c r="Q119" s="554" t="s">
        <v>835</v>
      </c>
      <c r="R119" s="573" t="str">
        <f>+VLOOKUP(Q119,Impacto!$B$5:$D$9,2,FALSE)</f>
        <v>Menor</v>
      </c>
      <c r="S119" s="570">
        <f>+VLOOKUP(Q119,Impacto!$B$5:$D$9,3,FALSE)</f>
        <v>0.4</v>
      </c>
      <c r="T119" s="570">
        <f>+P119*S119</f>
        <v>0.16000000000000003</v>
      </c>
      <c r="U119" s="567" t="str">
        <f t="shared" si="51"/>
        <v>Moderado</v>
      </c>
      <c r="V119" s="357">
        <v>1</v>
      </c>
      <c r="W119" s="38" t="s">
        <v>1110</v>
      </c>
      <c r="X119" s="35" t="str">
        <f t="shared" si="73"/>
        <v>Probabilidad</v>
      </c>
      <c r="Y119" s="42" t="s">
        <v>755</v>
      </c>
      <c r="Z119" s="42" t="s">
        <v>756</v>
      </c>
      <c r="AA119" s="43" t="str">
        <f t="shared" si="74"/>
        <v>40%</v>
      </c>
      <c r="AB119" s="42" t="s">
        <v>738</v>
      </c>
      <c r="AC119" s="42" t="s">
        <v>757</v>
      </c>
      <c r="AD119" s="42" t="s">
        <v>758</v>
      </c>
      <c r="AE119" s="38" t="s">
        <v>1111</v>
      </c>
      <c r="AF119" s="355">
        <f t="shared" si="68"/>
        <v>0.24</v>
      </c>
      <c r="AG119" s="37" t="str">
        <f t="shared" si="70"/>
        <v>Baja</v>
      </c>
      <c r="AH119" s="355">
        <f t="shared" si="69"/>
        <v>0.4</v>
      </c>
      <c r="AI119" s="37" t="str">
        <f t="shared" si="71"/>
        <v>Menor</v>
      </c>
      <c r="AJ119" s="36">
        <f t="shared" si="72"/>
        <v>9.6000000000000002E-2</v>
      </c>
      <c r="AK119" s="340" t="str">
        <f t="shared" si="52"/>
        <v>Bajo</v>
      </c>
      <c r="AL119" s="614" t="str">
        <f>+AK120</f>
        <v>Bajo</v>
      </c>
      <c r="AM119" s="563" t="s">
        <v>759</v>
      </c>
      <c r="AN119" s="354"/>
      <c r="AO119" s="354"/>
      <c r="AP119" s="354"/>
      <c r="AQ119" s="354"/>
      <c r="AR119" s="354"/>
      <c r="AS119" s="354"/>
    </row>
    <row r="120" spans="2:45" ht="64.5" customHeight="1" x14ac:dyDescent="0.25">
      <c r="B120" s="555"/>
      <c r="C120" s="555"/>
      <c r="D120" s="558"/>
      <c r="E120" s="558"/>
      <c r="F120" s="558"/>
      <c r="G120" s="558"/>
      <c r="H120" s="555"/>
      <c r="I120" s="555"/>
      <c r="J120" s="555"/>
      <c r="K120" s="564"/>
      <c r="L120" s="560"/>
      <c r="M120" s="564"/>
      <c r="N120" s="584"/>
      <c r="O120" s="575"/>
      <c r="P120" s="572"/>
      <c r="Q120" s="555"/>
      <c r="R120" s="575" t="e">
        <f>+VLOOKUP(Q120,Impacto!$B$5:$D$9,2,FALSE)</f>
        <v>#N/A</v>
      </c>
      <c r="S120" s="572" t="e">
        <f>+VLOOKUP(Q120,Impacto!$B$5:$D$9,3,FALSE)</f>
        <v>#N/A</v>
      </c>
      <c r="T120" s="572"/>
      <c r="U120" s="569" t="str">
        <f t="shared" si="51"/>
        <v>Bajo</v>
      </c>
      <c r="V120" s="357">
        <v>2</v>
      </c>
      <c r="W120" s="38" t="s">
        <v>1112</v>
      </c>
      <c r="X120" s="35" t="str">
        <f t="shared" si="73"/>
        <v>Probabilidad</v>
      </c>
      <c r="Y120" s="42" t="s">
        <v>755</v>
      </c>
      <c r="Z120" s="42" t="s">
        <v>756</v>
      </c>
      <c r="AA120" s="43" t="str">
        <f t="shared" si="74"/>
        <v>40%</v>
      </c>
      <c r="AB120" s="42" t="s">
        <v>738</v>
      </c>
      <c r="AC120" s="42" t="s">
        <v>757</v>
      </c>
      <c r="AD120" s="42" t="s">
        <v>758</v>
      </c>
      <c r="AE120" s="38" t="s">
        <v>1113</v>
      </c>
      <c r="AF120" s="27">
        <f>IFERROR(IF(AND(X119="Probabilidad",X120="Probabilidad"),(AF119-(+AF119*AA120)),IF(X120="Probabilidad",(P119-(P119*AA120)),IF(X120="Impacto",P119,""))),"")</f>
        <v>0.14399999999999999</v>
      </c>
      <c r="AG120" s="37" t="str">
        <f t="shared" si="70"/>
        <v>Muy Baja</v>
      </c>
      <c r="AH120" s="27">
        <f>IFERROR(IF(AND(X119="Impacto",X120="Impacto"),(AH119-(+AH119*AA120)),IF(X120="Impacto",(S119-(+S119*AA120)),IF(X120="Probabilidad",AH119,""))),"")</f>
        <v>0.4</v>
      </c>
      <c r="AI120" s="37" t="str">
        <f t="shared" si="71"/>
        <v>Menor</v>
      </c>
      <c r="AJ120" s="36">
        <f t="shared" si="72"/>
        <v>5.7599999999999998E-2</v>
      </c>
      <c r="AK120" s="340" t="str">
        <f t="shared" si="52"/>
        <v>Bajo</v>
      </c>
      <c r="AL120" s="616"/>
      <c r="AM120" s="564"/>
      <c r="AN120" s="354"/>
      <c r="AO120" s="354"/>
      <c r="AP120" s="354"/>
      <c r="AQ120" s="354"/>
      <c r="AR120" s="354"/>
      <c r="AS120" s="354"/>
    </row>
    <row r="121" spans="2:45" ht="87" customHeight="1" x14ac:dyDescent="0.25">
      <c r="B121" s="28" t="s">
        <v>1087</v>
      </c>
      <c r="C121" s="28" t="s">
        <v>1087</v>
      </c>
      <c r="D121" s="39" t="s">
        <v>1114</v>
      </c>
      <c r="E121" s="38" t="s">
        <v>782</v>
      </c>
      <c r="F121" s="38" t="s">
        <v>1369</v>
      </c>
      <c r="G121" s="39" t="s">
        <v>783</v>
      </c>
      <c r="H121" s="28" t="s">
        <v>747</v>
      </c>
      <c r="I121" s="28" t="s">
        <v>748</v>
      </c>
      <c r="J121" s="28" t="s">
        <v>784</v>
      </c>
      <c r="K121" s="26" t="s">
        <v>750</v>
      </c>
      <c r="L121" s="38" t="s">
        <v>785</v>
      </c>
      <c r="M121" s="40" t="s">
        <v>752</v>
      </c>
      <c r="N121" s="41">
        <v>5</v>
      </c>
      <c r="O121" s="370" t="str">
        <f>IF(N121&lt;=0,"",IF(N121&lt;=2,"Muy Baja",IF(N121&lt;=24,"Baja",IF(N121&lt;=500,"Media",IF(N121&lt;=5000,"Alta","Muy Alta")))))</f>
        <v>Baja</v>
      </c>
      <c r="P121" s="355">
        <f>+VLOOKUP(O121,Probabilidad!$B$5:$C$9,2,FALSE)</f>
        <v>0.4</v>
      </c>
      <c r="Q121" s="28" t="s">
        <v>753</v>
      </c>
      <c r="R121" s="371" t="str">
        <f>+VLOOKUP(Q121,Impacto!$B$5:$D$9,2,FALSE)</f>
        <v>Mayor</v>
      </c>
      <c r="S121" s="355">
        <f>+VLOOKUP(Q121,Impacto!$B$5:$D$9,3,FALSE)</f>
        <v>0.8</v>
      </c>
      <c r="T121" s="355">
        <f>+P121*S121</f>
        <v>0.32000000000000006</v>
      </c>
      <c r="U121" s="340" t="str">
        <f t="shared" si="51"/>
        <v>Moderado</v>
      </c>
      <c r="V121" s="40">
        <v>1</v>
      </c>
      <c r="W121" s="38" t="s">
        <v>1057</v>
      </c>
      <c r="X121" s="35" t="str">
        <f t="shared" si="73"/>
        <v>Probabilidad</v>
      </c>
      <c r="Y121" s="42" t="s">
        <v>755</v>
      </c>
      <c r="Z121" s="42" t="s">
        <v>756</v>
      </c>
      <c r="AA121" s="43" t="str">
        <f t="shared" si="74"/>
        <v>40%</v>
      </c>
      <c r="AB121" s="42" t="s">
        <v>738</v>
      </c>
      <c r="AC121" s="42" t="s">
        <v>757</v>
      </c>
      <c r="AD121" s="42" t="s">
        <v>758</v>
      </c>
      <c r="AE121" s="38" t="s">
        <v>1432</v>
      </c>
      <c r="AF121" s="355">
        <f>IFERROR(IF(X121="Probabilidad",(P121-(P121*AA121)),IF(X121="Impacto",P121,"")),"")</f>
        <v>0.24</v>
      </c>
      <c r="AG121" s="37" t="str">
        <f t="shared" si="70"/>
        <v>Baja</v>
      </c>
      <c r="AH121" s="355">
        <f>IFERROR(IF(X121="Impacto",(S121-(S121*AA121)),IF(X121="Probabilidad",S121,"")),"")</f>
        <v>0.8</v>
      </c>
      <c r="AI121" s="37" t="str">
        <f t="shared" si="71"/>
        <v>Mayor</v>
      </c>
      <c r="AJ121" s="36">
        <f t="shared" si="72"/>
        <v>0.192</v>
      </c>
      <c r="AK121" s="340" t="str">
        <f t="shared" si="52"/>
        <v>Moderado</v>
      </c>
      <c r="AL121" s="365" t="str">
        <f t="shared" si="60"/>
        <v>Moderado</v>
      </c>
      <c r="AM121" s="26" t="s">
        <v>759</v>
      </c>
      <c r="AN121" s="354"/>
      <c r="AO121" s="354"/>
      <c r="AP121" s="354"/>
      <c r="AQ121" s="354"/>
      <c r="AR121" s="354"/>
      <c r="AS121" s="354"/>
    </row>
    <row r="122" spans="2:45" ht="89.25" x14ac:dyDescent="0.25">
      <c r="B122" s="554" t="s">
        <v>1115</v>
      </c>
      <c r="C122" s="554" t="s">
        <v>1115</v>
      </c>
      <c r="D122" s="586" t="s">
        <v>1116</v>
      </c>
      <c r="E122" s="579" t="s">
        <v>1669</v>
      </c>
      <c r="F122" s="579" t="s">
        <v>1400</v>
      </c>
      <c r="G122" s="586" t="s">
        <v>1117</v>
      </c>
      <c r="H122" s="554" t="s">
        <v>747</v>
      </c>
      <c r="I122" s="554" t="s">
        <v>748</v>
      </c>
      <c r="J122" s="554" t="s">
        <v>749</v>
      </c>
      <c r="K122" s="563" t="s">
        <v>750</v>
      </c>
      <c r="L122" s="579" t="s">
        <v>751</v>
      </c>
      <c r="M122" s="581" t="s">
        <v>752</v>
      </c>
      <c r="N122" s="583">
        <v>41</v>
      </c>
      <c r="O122" s="573" t="str">
        <f>IF(N122&lt;=0,"",IF(N122&lt;=2,"Muy Baja",IF(N122&lt;=24,"Baja",IF(N122&lt;=500,"Media",IF(N122&lt;=5000,"Alta","Muy Alta")))))</f>
        <v>Media</v>
      </c>
      <c r="P122" s="570">
        <f>+VLOOKUP(O122,Probabilidad!$B$5:$C$9,2,FALSE)</f>
        <v>0.6</v>
      </c>
      <c r="Q122" s="554" t="s">
        <v>786</v>
      </c>
      <c r="R122" s="573" t="str">
        <f>+VLOOKUP(Q122,Impacto!$B$5:$D$9,2,FALSE)</f>
        <v>Leve</v>
      </c>
      <c r="S122" s="570">
        <f>+VLOOKUP(Q122,Impacto!$B$5:$D$9,3,FALSE)</f>
        <v>0.2</v>
      </c>
      <c r="T122" s="570">
        <f>+P122*S122</f>
        <v>0.12</v>
      </c>
      <c r="U122" s="567" t="str">
        <f t="shared" si="51"/>
        <v>Moderado</v>
      </c>
      <c r="V122" s="40">
        <v>1</v>
      </c>
      <c r="W122" s="38" t="s">
        <v>1118</v>
      </c>
      <c r="X122" s="35" t="str">
        <f t="shared" si="73"/>
        <v>Probabilidad</v>
      </c>
      <c r="Y122" s="42" t="s">
        <v>755</v>
      </c>
      <c r="Z122" s="42" t="s">
        <v>756</v>
      </c>
      <c r="AA122" s="43" t="str">
        <f t="shared" si="74"/>
        <v>40%</v>
      </c>
      <c r="AB122" s="42" t="s">
        <v>738</v>
      </c>
      <c r="AC122" s="42" t="s">
        <v>757</v>
      </c>
      <c r="AD122" s="42" t="s">
        <v>758</v>
      </c>
      <c r="AE122" s="38" t="s">
        <v>1119</v>
      </c>
      <c r="AF122" s="355">
        <f>IFERROR(IF(X122="Probabilidad",(P122-(P122*AA122)),IF(X122="Impacto",P122,"")),"")</f>
        <v>0.36</v>
      </c>
      <c r="AG122" s="37" t="str">
        <f t="shared" si="70"/>
        <v>Baja</v>
      </c>
      <c r="AH122" s="355">
        <f>IFERROR(IF(X122="Impacto",(S122-(S122*AA122)),IF(X122="Probabilidad",S122,"")),"")</f>
        <v>0.2</v>
      </c>
      <c r="AI122" s="37" t="str">
        <f t="shared" si="71"/>
        <v>Leve</v>
      </c>
      <c r="AJ122" s="36">
        <f t="shared" si="72"/>
        <v>7.1999999999999995E-2</v>
      </c>
      <c r="AK122" s="340" t="str">
        <f t="shared" si="52"/>
        <v>Bajo</v>
      </c>
      <c r="AL122" s="614" t="str">
        <f>+AK123</f>
        <v>Bajo</v>
      </c>
      <c r="AM122" s="563" t="s">
        <v>759</v>
      </c>
      <c r="AN122" s="354"/>
      <c r="AO122" s="354"/>
      <c r="AP122" s="354"/>
      <c r="AQ122" s="354"/>
      <c r="AR122" s="354"/>
      <c r="AS122" s="354"/>
    </row>
    <row r="123" spans="2:45" ht="113.25" customHeight="1" x14ac:dyDescent="0.25">
      <c r="B123" s="555"/>
      <c r="C123" s="555"/>
      <c r="D123" s="588"/>
      <c r="E123" s="580"/>
      <c r="F123" s="580"/>
      <c r="G123" s="588"/>
      <c r="H123" s="555"/>
      <c r="I123" s="555"/>
      <c r="J123" s="555"/>
      <c r="K123" s="564"/>
      <c r="L123" s="580"/>
      <c r="M123" s="582"/>
      <c r="N123" s="584"/>
      <c r="O123" s="575"/>
      <c r="P123" s="572"/>
      <c r="Q123" s="555"/>
      <c r="R123" s="575" t="e">
        <f>+VLOOKUP(Q123,Impacto!$B$5:$D$9,2,FALSE)</f>
        <v>#N/A</v>
      </c>
      <c r="S123" s="572" t="e">
        <f>+VLOOKUP(Q123,Impacto!$B$5:$D$9,3,FALSE)</f>
        <v>#N/A</v>
      </c>
      <c r="T123" s="572"/>
      <c r="U123" s="569" t="str">
        <f t="shared" si="51"/>
        <v>Bajo</v>
      </c>
      <c r="V123" s="40">
        <v>2</v>
      </c>
      <c r="W123" s="38" t="s">
        <v>1120</v>
      </c>
      <c r="X123" s="35" t="str">
        <f t="shared" ref="X123:X174" si="75">IF(OR(Y123="Preventivo",Y123="Detectivo"),"Probabilidad",IF(Y123="Correctivo","Impacto",""))</f>
        <v>Probabilidad</v>
      </c>
      <c r="Y123" s="42" t="s">
        <v>755</v>
      </c>
      <c r="Z123" s="42" t="s">
        <v>756</v>
      </c>
      <c r="AA123" s="43" t="str">
        <f t="shared" ref="AA123:AA174" si="76">IF(AND(Y123="Preventivo",Z123="Automático"),"50%",IF(AND(Y123="Preventivo",Z123="Manual"),"40%",IF(AND(Y123="Detectivo",Z123="Automático"),"40%",IF(AND(Y123="Detectivo",Z123="Manual"),"30%",IF(AND(Y123="Correctivo",Z123="Automático"),"35%",IF(AND(Y123="Correctivo",Z123="Manual"),"25%",""))))))</f>
        <v>40%</v>
      </c>
      <c r="AB123" s="42" t="s">
        <v>738</v>
      </c>
      <c r="AC123" s="42" t="s">
        <v>757</v>
      </c>
      <c r="AD123" s="42" t="s">
        <v>758</v>
      </c>
      <c r="AE123" s="38" t="s">
        <v>1472</v>
      </c>
      <c r="AF123" s="27">
        <f>IFERROR(IF(AND(X122="Probabilidad",X123="Probabilidad"),(AF122-(+AF122*AA123)),IF(X123="Probabilidad",(P122-(P122*AA123)),IF(X123="Impacto",P122,""))),"")</f>
        <v>0.216</v>
      </c>
      <c r="AG123" s="37" t="str">
        <f t="shared" si="70"/>
        <v>Baja</v>
      </c>
      <c r="AH123" s="27">
        <f>IFERROR(IF(AND(X122="Impacto",X123="Impacto"),(AH122-(+AH122*AA123)),IF(X123="Impacto",(S122-(+S122*AA123)),IF(X123="Probabilidad",AH122,""))),"")</f>
        <v>0.2</v>
      </c>
      <c r="AI123" s="37" t="str">
        <f t="shared" si="71"/>
        <v>Leve</v>
      </c>
      <c r="AJ123" s="36">
        <f t="shared" si="72"/>
        <v>4.3200000000000002E-2</v>
      </c>
      <c r="AK123" s="340" t="str">
        <f t="shared" si="52"/>
        <v>Bajo</v>
      </c>
      <c r="AL123" s="616"/>
      <c r="AM123" s="564"/>
      <c r="AN123" s="354"/>
      <c r="AO123" s="354"/>
      <c r="AP123" s="354"/>
      <c r="AQ123" s="354"/>
      <c r="AR123" s="354"/>
      <c r="AS123" s="354"/>
    </row>
    <row r="124" spans="2:45" ht="102.75" customHeight="1" x14ac:dyDescent="0.25">
      <c r="B124" s="554" t="s">
        <v>1115</v>
      </c>
      <c r="C124" s="554" t="s">
        <v>1115</v>
      </c>
      <c r="D124" s="586" t="s">
        <v>1121</v>
      </c>
      <c r="E124" s="592" t="s">
        <v>1122</v>
      </c>
      <c r="F124" s="579" t="s">
        <v>1401</v>
      </c>
      <c r="G124" s="586" t="s">
        <v>1471</v>
      </c>
      <c r="H124" s="554" t="s">
        <v>747</v>
      </c>
      <c r="I124" s="554" t="s">
        <v>748</v>
      </c>
      <c r="J124" s="554" t="s">
        <v>749</v>
      </c>
      <c r="K124" s="563" t="s">
        <v>750</v>
      </c>
      <c r="L124" s="579" t="s">
        <v>751</v>
      </c>
      <c r="M124" s="581" t="s">
        <v>752</v>
      </c>
      <c r="N124" s="583">
        <v>7812</v>
      </c>
      <c r="O124" s="573" t="str">
        <f t="shared" ref="O124:O171" si="77">IF(N124&lt;=0,"",IF(N124&lt;=2,"Muy Baja",IF(N124&lt;=24,"Baja",IF(N124&lt;=500,"Media",IF(N124&lt;=5000,"Alta","Muy Alta")))))</f>
        <v>Muy Alta</v>
      </c>
      <c r="P124" s="570">
        <f>+VLOOKUP(O124,Probabilidad!$B$5:$C$9,2,FALSE)</f>
        <v>1</v>
      </c>
      <c r="Q124" s="554" t="s">
        <v>770</v>
      </c>
      <c r="R124" s="573" t="str">
        <f>+VLOOKUP(Q124,Impacto!$B$5:$D$9,2,FALSE)</f>
        <v>Moderado</v>
      </c>
      <c r="S124" s="570">
        <f>+VLOOKUP(Q124,Impacto!$B$5:$D$9,3,FALSE)</f>
        <v>0.6</v>
      </c>
      <c r="T124" s="570">
        <f t="shared" ref="T124:T171" si="78">+P124*S124</f>
        <v>0.6</v>
      </c>
      <c r="U124" s="567" t="str">
        <f t="shared" si="51"/>
        <v>Alto</v>
      </c>
      <c r="V124" s="40">
        <v>1</v>
      </c>
      <c r="W124" s="38" t="s">
        <v>1123</v>
      </c>
      <c r="X124" s="35" t="str">
        <f t="shared" si="75"/>
        <v>Probabilidad</v>
      </c>
      <c r="Y124" s="42" t="s">
        <v>755</v>
      </c>
      <c r="Z124" s="42" t="s">
        <v>756</v>
      </c>
      <c r="AA124" s="43" t="str">
        <f t="shared" si="76"/>
        <v>40%</v>
      </c>
      <c r="AB124" s="42" t="s">
        <v>738</v>
      </c>
      <c r="AC124" s="42" t="s">
        <v>757</v>
      </c>
      <c r="AD124" s="42" t="s">
        <v>758</v>
      </c>
      <c r="AE124" s="38" t="s">
        <v>1534</v>
      </c>
      <c r="AF124" s="355">
        <f>IFERROR(IF(X124="Probabilidad",(P124-(P124*AA124)),IF(X124="Impacto",P124,"")),"")</f>
        <v>0.6</v>
      </c>
      <c r="AG124" s="37" t="str">
        <f t="shared" si="70"/>
        <v>Media</v>
      </c>
      <c r="AH124" s="355">
        <f>IFERROR(IF(X124="Impacto",(S124-(S124*AA124)),IF(X124="Probabilidad",S124,"")),"")</f>
        <v>0.6</v>
      </c>
      <c r="AI124" s="37" t="str">
        <f t="shared" si="71"/>
        <v>Moderado</v>
      </c>
      <c r="AJ124" s="36">
        <f t="shared" si="72"/>
        <v>0.36</v>
      </c>
      <c r="AK124" s="340" t="str">
        <f t="shared" si="52"/>
        <v>Moderado</v>
      </c>
      <c r="AL124" s="614" t="str">
        <f>+AK125</f>
        <v>Moderado</v>
      </c>
      <c r="AM124" s="563" t="s">
        <v>759</v>
      </c>
      <c r="AN124" s="354"/>
      <c r="AO124" s="354"/>
      <c r="AP124" s="354"/>
      <c r="AQ124" s="354"/>
      <c r="AR124" s="354"/>
      <c r="AS124" s="354"/>
    </row>
    <row r="125" spans="2:45" ht="90" customHeight="1" x14ac:dyDescent="0.25">
      <c r="B125" s="555"/>
      <c r="C125" s="555"/>
      <c r="D125" s="588"/>
      <c r="E125" s="593"/>
      <c r="F125" s="580"/>
      <c r="G125" s="588"/>
      <c r="H125" s="555"/>
      <c r="I125" s="555"/>
      <c r="J125" s="555"/>
      <c r="K125" s="564"/>
      <c r="L125" s="580"/>
      <c r="M125" s="582"/>
      <c r="N125" s="584"/>
      <c r="O125" s="575"/>
      <c r="P125" s="572"/>
      <c r="Q125" s="555"/>
      <c r="R125" s="575" t="e">
        <f>+VLOOKUP(Q125,Impacto!$B$5:$D$9,2,FALSE)</f>
        <v>#N/A</v>
      </c>
      <c r="S125" s="572" t="e">
        <f>+VLOOKUP(Q125,Impacto!$B$5:$D$9,3,FALSE)</f>
        <v>#N/A</v>
      </c>
      <c r="T125" s="572"/>
      <c r="U125" s="569" t="str">
        <f t="shared" si="51"/>
        <v>Bajo</v>
      </c>
      <c r="V125" s="40">
        <v>2</v>
      </c>
      <c r="W125" s="38" t="s">
        <v>1124</v>
      </c>
      <c r="X125" s="35" t="str">
        <f t="shared" si="75"/>
        <v>Probabilidad</v>
      </c>
      <c r="Y125" s="42" t="s">
        <v>755</v>
      </c>
      <c r="Z125" s="42" t="s">
        <v>756</v>
      </c>
      <c r="AA125" s="43" t="str">
        <f t="shared" si="76"/>
        <v>40%</v>
      </c>
      <c r="AB125" s="42" t="s">
        <v>738</v>
      </c>
      <c r="AC125" s="42" t="s">
        <v>757</v>
      </c>
      <c r="AD125" s="42" t="s">
        <v>758</v>
      </c>
      <c r="AE125" s="38" t="s">
        <v>1473</v>
      </c>
      <c r="AF125" s="27">
        <f>IFERROR(IF(AND(X124="Probabilidad",X125="Probabilidad"),(AF124-(+AF124*AA125)),IF(X125="Probabilidad",(P124-(P124*AA125)),IF(X125="Impacto",P124,""))),"")</f>
        <v>0.36</v>
      </c>
      <c r="AG125" s="37" t="str">
        <f t="shared" si="70"/>
        <v>Baja</v>
      </c>
      <c r="AH125" s="27">
        <f>IFERROR(IF(AND(X124="Impacto",X125="Impacto"),(AH124-(+AH124*AA125)),IF(X125="Impacto",(S124-(+S124*AA125)),IF(X125="Probabilidad",AH124,""))),"")</f>
        <v>0.6</v>
      </c>
      <c r="AI125" s="37" t="str">
        <f t="shared" si="71"/>
        <v>Moderado</v>
      </c>
      <c r="AJ125" s="36">
        <f t="shared" si="72"/>
        <v>0.216</v>
      </c>
      <c r="AK125" s="340" t="str">
        <f t="shared" si="52"/>
        <v>Moderado</v>
      </c>
      <c r="AL125" s="616"/>
      <c r="AM125" s="564"/>
      <c r="AN125" s="354"/>
      <c r="AO125" s="354"/>
      <c r="AP125" s="354"/>
      <c r="AQ125" s="354"/>
      <c r="AR125" s="354"/>
      <c r="AS125" s="354"/>
    </row>
    <row r="126" spans="2:45" ht="93" customHeight="1" x14ac:dyDescent="0.25">
      <c r="B126" s="554" t="s">
        <v>1115</v>
      </c>
      <c r="C126" s="554" t="s">
        <v>1115</v>
      </c>
      <c r="D126" s="586" t="s">
        <v>1125</v>
      </c>
      <c r="E126" s="592" t="s">
        <v>1670</v>
      </c>
      <c r="F126" s="579" t="s">
        <v>1402</v>
      </c>
      <c r="G126" s="586" t="s">
        <v>1474</v>
      </c>
      <c r="H126" s="554" t="s">
        <v>747</v>
      </c>
      <c r="I126" s="554" t="s">
        <v>748</v>
      </c>
      <c r="J126" s="554" t="s">
        <v>784</v>
      </c>
      <c r="K126" s="563" t="s">
        <v>750</v>
      </c>
      <c r="L126" s="579" t="s">
        <v>1126</v>
      </c>
      <c r="M126" s="581" t="s">
        <v>752</v>
      </c>
      <c r="N126" s="583">
        <v>41</v>
      </c>
      <c r="O126" s="573" t="str">
        <f t="shared" si="77"/>
        <v>Media</v>
      </c>
      <c r="P126" s="570">
        <f>+VLOOKUP(O126,Probabilidad!$B$5:$C$9,2,FALSE)</f>
        <v>0.6</v>
      </c>
      <c r="Q126" s="554" t="s">
        <v>786</v>
      </c>
      <c r="R126" s="573" t="str">
        <f>+VLOOKUP(Q126,Impacto!$B$5:$D$9,2,FALSE)</f>
        <v>Leve</v>
      </c>
      <c r="S126" s="570">
        <f>+VLOOKUP(Q126,Impacto!$B$5:$D$9,3,FALSE)</f>
        <v>0.2</v>
      </c>
      <c r="T126" s="570">
        <f t="shared" si="78"/>
        <v>0.12</v>
      </c>
      <c r="U126" s="567" t="str">
        <f t="shared" si="51"/>
        <v>Moderado</v>
      </c>
      <c r="V126" s="40">
        <v>1</v>
      </c>
      <c r="W126" s="38" t="s">
        <v>1127</v>
      </c>
      <c r="X126" s="35" t="str">
        <f t="shared" si="75"/>
        <v>Probabilidad</v>
      </c>
      <c r="Y126" s="42" t="s">
        <v>755</v>
      </c>
      <c r="Z126" s="42" t="s">
        <v>756</v>
      </c>
      <c r="AA126" s="43" t="str">
        <f t="shared" si="76"/>
        <v>40%</v>
      </c>
      <c r="AB126" s="42" t="s">
        <v>738</v>
      </c>
      <c r="AC126" s="42" t="s">
        <v>757</v>
      </c>
      <c r="AD126" s="42" t="s">
        <v>758</v>
      </c>
      <c r="AE126" s="38" t="s">
        <v>1475</v>
      </c>
      <c r="AF126" s="355">
        <f>IFERROR(IF(X126="Probabilidad",(P126-(P126*AA126)),IF(X126="Impacto",P126,"")),"")</f>
        <v>0.36</v>
      </c>
      <c r="AG126" s="37" t="str">
        <f t="shared" si="70"/>
        <v>Baja</v>
      </c>
      <c r="AH126" s="355">
        <f>IFERROR(IF(X126="Impacto",(S126-(S126*AA126)),IF(X126="Probabilidad",S126,"")),"")</f>
        <v>0.2</v>
      </c>
      <c r="AI126" s="37" t="str">
        <f t="shared" si="71"/>
        <v>Leve</v>
      </c>
      <c r="AJ126" s="36">
        <f t="shared" si="72"/>
        <v>7.1999999999999995E-2</v>
      </c>
      <c r="AK126" s="340" t="str">
        <f t="shared" si="52"/>
        <v>Bajo</v>
      </c>
      <c r="AL126" s="614" t="str">
        <f>+AK127</f>
        <v>Bajo</v>
      </c>
      <c r="AM126" s="563" t="s">
        <v>759</v>
      </c>
      <c r="AN126" s="354"/>
      <c r="AO126" s="354"/>
      <c r="AP126" s="354"/>
      <c r="AQ126" s="354"/>
      <c r="AR126" s="354"/>
      <c r="AS126" s="354"/>
    </row>
    <row r="127" spans="2:45" ht="65.25" customHeight="1" x14ac:dyDescent="0.25">
      <c r="B127" s="555"/>
      <c r="C127" s="555"/>
      <c r="D127" s="588"/>
      <c r="E127" s="593"/>
      <c r="F127" s="580"/>
      <c r="G127" s="588"/>
      <c r="H127" s="555"/>
      <c r="I127" s="555"/>
      <c r="J127" s="555"/>
      <c r="K127" s="564"/>
      <c r="L127" s="580"/>
      <c r="M127" s="582"/>
      <c r="N127" s="584"/>
      <c r="O127" s="575"/>
      <c r="P127" s="572"/>
      <c r="Q127" s="555"/>
      <c r="R127" s="575" t="e">
        <f>+VLOOKUP(Q127,Impacto!$B$5:$D$9,2,FALSE)</f>
        <v>#N/A</v>
      </c>
      <c r="S127" s="572" t="e">
        <f>+VLOOKUP(Q127,Impacto!$B$5:$D$9,3,FALSE)</f>
        <v>#N/A</v>
      </c>
      <c r="T127" s="572"/>
      <c r="U127" s="569" t="str">
        <f t="shared" si="51"/>
        <v>Bajo</v>
      </c>
      <c r="V127" s="40">
        <v>2</v>
      </c>
      <c r="W127" s="38" t="s">
        <v>1128</v>
      </c>
      <c r="X127" s="35" t="str">
        <f t="shared" si="75"/>
        <v>Probabilidad</v>
      </c>
      <c r="Y127" s="42" t="s">
        <v>755</v>
      </c>
      <c r="Z127" s="42" t="s">
        <v>756</v>
      </c>
      <c r="AA127" s="43" t="str">
        <f t="shared" si="76"/>
        <v>40%</v>
      </c>
      <c r="AB127" s="42" t="s">
        <v>738</v>
      </c>
      <c r="AC127" s="42" t="s">
        <v>757</v>
      </c>
      <c r="AD127" s="42" t="s">
        <v>758</v>
      </c>
      <c r="AE127" s="38" t="s">
        <v>1475</v>
      </c>
      <c r="AF127" s="27">
        <f>IFERROR(IF(AND(X126="Probabilidad",X127="Probabilidad"),(AF126-(+AF126*AA127)),IF(X127="Probabilidad",(P126-(P126*AA127)),IF(X127="Impacto",P126,""))),"")</f>
        <v>0.216</v>
      </c>
      <c r="AG127" s="37" t="str">
        <f t="shared" si="70"/>
        <v>Baja</v>
      </c>
      <c r="AH127" s="27">
        <f>IFERROR(IF(AND(X126="Impacto",X127="Impacto"),(AH126-(+AH126*AA127)),IF(X127="Impacto",(S126-(+S126*AA127)),IF(X127="Probabilidad",AH126,""))),"")</f>
        <v>0.2</v>
      </c>
      <c r="AI127" s="37" t="str">
        <f t="shared" si="71"/>
        <v>Leve</v>
      </c>
      <c r="AJ127" s="36">
        <f t="shared" si="72"/>
        <v>4.3200000000000002E-2</v>
      </c>
      <c r="AK127" s="340" t="str">
        <f t="shared" si="52"/>
        <v>Bajo</v>
      </c>
      <c r="AL127" s="616"/>
      <c r="AM127" s="564"/>
      <c r="AN127" s="354"/>
      <c r="AO127" s="354"/>
      <c r="AP127" s="354"/>
      <c r="AQ127" s="354"/>
      <c r="AR127" s="354"/>
      <c r="AS127" s="354"/>
    </row>
    <row r="128" spans="2:45" ht="63.75" x14ac:dyDescent="0.25">
      <c r="B128" s="28" t="s">
        <v>1115</v>
      </c>
      <c r="C128" s="28" t="s">
        <v>1115</v>
      </c>
      <c r="D128" s="39" t="s">
        <v>1129</v>
      </c>
      <c r="E128" s="38" t="s">
        <v>782</v>
      </c>
      <c r="F128" s="38" t="s">
        <v>1369</v>
      </c>
      <c r="G128" s="39" t="s">
        <v>783</v>
      </c>
      <c r="H128" s="28" t="s">
        <v>747</v>
      </c>
      <c r="I128" s="28" t="s">
        <v>748</v>
      </c>
      <c r="J128" s="28" t="s">
        <v>784</v>
      </c>
      <c r="K128" s="26" t="s">
        <v>750</v>
      </c>
      <c r="L128" s="38" t="s">
        <v>785</v>
      </c>
      <c r="M128" s="40" t="s">
        <v>752</v>
      </c>
      <c r="N128" s="41">
        <v>5</v>
      </c>
      <c r="O128" s="370" t="str">
        <f t="shared" si="77"/>
        <v>Baja</v>
      </c>
      <c r="P128" s="355">
        <f>+VLOOKUP(O128,Probabilidad!$B$5:$C$9,2,FALSE)</f>
        <v>0.4</v>
      </c>
      <c r="Q128" s="28" t="s">
        <v>786</v>
      </c>
      <c r="R128" s="371" t="str">
        <f>+VLOOKUP(Q128,Impacto!$B$5:$D$9,2,FALSE)</f>
        <v>Leve</v>
      </c>
      <c r="S128" s="355">
        <f>+VLOOKUP(Q128,Impacto!$B$5:$D$9,3,FALSE)</f>
        <v>0.2</v>
      </c>
      <c r="T128" s="355">
        <f t="shared" si="78"/>
        <v>8.0000000000000016E-2</v>
      </c>
      <c r="U128" s="340" t="str">
        <f t="shared" si="51"/>
        <v>Bajo</v>
      </c>
      <c r="V128" s="40">
        <v>1</v>
      </c>
      <c r="W128" s="38" t="s">
        <v>1057</v>
      </c>
      <c r="X128" s="35" t="str">
        <f t="shared" si="75"/>
        <v>Probabilidad</v>
      </c>
      <c r="Y128" s="42" t="s">
        <v>755</v>
      </c>
      <c r="Z128" s="42" t="s">
        <v>756</v>
      </c>
      <c r="AA128" s="43" t="str">
        <f t="shared" si="76"/>
        <v>40%</v>
      </c>
      <c r="AB128" s="42" t="s">
        <v>738</v>
      </c>
      <c r="AC128" s="42" t="s">
        <v>757</v>
      </c>
      <c r="AD128" s="42" t="s">
        <v>758</v>
      </c>
      <c r="AE128" s="38" t="s">
        <v>1432</v>
      </c>
      <c r="AF128" s="355">
        <f>IFERROR(IF(X128="Probabilidad",(P128-(P128*AA128)),IF(X128="Impacto",P128,"")),"")</f>
        <v>0.24</v>
      </c>
      <c r="AG128" s="37" t="str">
        <f t="shared" si="70"/>
        <v>Baja</v>
      </c>
      <c r="AH128" s="355">
        <f>IFERROR(IF(X128="Impacto",(S128-(S128*AA128)),IF(X128="Probabilidad",S128,"")),"")</f>
        <v>0.2</v>
      </c>
      <c r="AI128" s="37" t="str">
        <f t="shared" si="71"/>
        <v>Leve</v>
      </c>
      <c r="AJ128" s="36">
        <f t="shared" si="72"/>
        <v>4.8000000000000001E-2</v>
      </c>
      <c r="AK128" s="340" t="str">
        <f t="shared" si="52"/>
        <v>Bajo</v>
      </c>
      <c r="AL128" s="365" t="str">
        <f t="shared" si="60"/>
        <v>Bajo</v>
      </c>
      <c r="AM128" s="26" t="s">
        <v>759</v>
      </c>
      <c r="AN128" s="354"/>
      <c r="AO128" s="354"/>
      <c r="AP128" s="354"/>
      <c r="AQ128" s="354"/>
      <c r="AR128" s="354"/>
      <c r="AS128" s="354"/>
    </row>
    <row r="129" spans="2:45" ht="111" customHeight="1" x14ac:dyDescent="0.25">
      <c r="B129" s="554" t="s">
        <v>1130</v>
      </c>
      <c r="C129" s="554" t="s">
        <v>1131</v>
      </c>
      <c r="D129" s="579" t="s">
        <v>1132</v>
      </c>
      <c r="E129" s="579" t="s">
        <v>1671</v>
      </c>
      <c r="F129" s="579" t="s">
        <v>1403</v>
      </c>
      <c r="G129" s="586" t="s">
        <v>1133</v>
      </c>
      <c r="H129" s="586" t="s">
        <v>747</v>
      </c>
      <c r="I129" s="586" t="s">
        <v>748</v>
      </c>
      <c r="J129" s="583" t="s">
        <v>749</v>
      </c>
      <c r="K129" s="583" t="s">
        <v>750</v>
      </c>
      <c r="L129" s="579" t="s">
        <v>1134</v>
      </c>
      <c r="M129" s="581" t="s">
        <v>752</v>
      </c>
      <c r="N129" s="583">
        <v>365</v>
      </c>
      <c r="O129" s="573" t="str">
        <f t="shared" si="77"/>
        <v>Media</v>
      </c>
      <c r="P129" s="570">
        <f>+VLOOKUP(O129,Probabilidad!$B$5:$C$9,2,FALSE)</f>
        <v>0.6</v>
      </c>
      <c r="Q129" s="554" t="s">
        <v>786</v>
      </c>
      <c r="R129" s="573" t="str">
        <f>+VLOOKUP(Q129,Impacto!$B$5:$D$9,2,FALSE)</f>
        <v>Leve</v>
      </c>
      <c r="S129" s="570">
        <f>+VLOOKUP(Q129,Impacto!$B$5:$D$9,3,FALSE)</f>
        <v>0.2</v>
      </c>
      <c r="T129" s="570">
        <f t="shared" si="78"/>
        <v>0.12</v>
      </c>
      <c r="U129" s="567" t="str">
        <f t="shared" si="51"/>
        <v>Moderado</v>
      </c>
      <c r="V129" s="40">
        <v>1</v>
      </c>
      <c r="W129" s="38" t="s">
        <v>1135</v>
      </c>
      <c r="X129" s="35" t="str">
        <f t="shared" si="75"/>
        <v>Probabilidad</v>
      </c>
      <c r="Y129" s="42" t="s">
        <v>755</v>
      </c>
      <c r="Z129" s="42" t="s">
        <v>1136</v>
      </c>
      <c r="AA129" s="43" t="str">
        <f t="shared" si="76"/>
        <v>50%</v>
      </c>
      <c r="AB129" s="42" t="s">
        <v>738</v>
      </c>
      <c r="AC129" s="42" t="s">
        <v>1257</v>
      </c>
      <c r="AD129" s="42" t="s">
        <v>758</v>
      </c>
      <c r="AE129" s="38" t="s">
        <v>1535</v>
      </c>
      <c r="AF129" s="355">
        <f>IFERROR(IF(X129="Probabilidad",(P129-(P129*AA129)),IF(X129="Impacto",P129,"")),"")</f>
        <v>0.3</v>
      </c>
      <c r="AG129" s="37" t="str">
        <f t="shared" ref="AG129:AG137" si="79">IFERROR(IF(AF129="","",IF(AF129&lt;=0.2,"Muy Baja",IF(AF129&lt;=0.4,"Baja",IF(AF129&lt;=0.6,"Media",IF(AF129&lt;=0.8,"Alta","Muy Alta"))))),"")</f>
        <v>Baja</v>
      </c>
      <c r="AH129" s="355">
        <f>IFERROR(IF(X129="Impacto",(S129-(S129*AA129)),IF(X129="Probabilidad",S129,"")),"")</f>
        <v>0.2</v>
      </c>
      <c r="AI129" s="37" t="str">
        <f t="shared" ref="AI129:AI137" si="80">IFERROR(IF(AH129="","",IF(AH129&lt;=0.2,"Leve",IF(AH129&lt;=0.4,"Menor",IF(AH129&lt;=0.6,"Moderado",IF(AH129&lt;=0.8,"Mayor","Catastrófico"))))),"")</f>
        <v>Leve</v>
      </c>
      <c r="AJ129" s="36">
        <f t="shared" ref="AJ129:AJ137" si="81">+AF129*AH129</f>
        <v>0.06</v>
      </c>
      <c r="AK129" s="340" t="str">
        <f t="shared" si="52"/>
        <v>Bajo</v>
      </c>
      <c r="AL129" s="614" t="str">
        <f>+AK131</f>
        <v>Bajo</v>
      </c>
      <c r="AM129" s="563" t="s">
        <v>759</v>
      </c>
      <c r="AN129" s="39" t="s">
        <v>1536</v>
      </c>
      <c r="AO129" s="39" t="s">
        <v>1537</v>
      </c>
      <c r="AP129" s="39" t="s">
        <v>1538</v>
      </c>
      <c r="AQ129" s="39" t="s">
        <v>762</v>
      </c>
      <c r="AR129" s="39" t="s">
        <v>1539</v>
      </c>
      <c r="AS129" s="354"/>
    </row>
    <row r="130" spans="2:45" ht="45" customHeight="1" x14ac:dyDescent="0.25">
      <c r="B130" s="566"/>
      <c r="C130" s="566"/>
      <c r="D130" s="585"/>
      <c r="E130" s="585"/>
      <c r="F130" s="585"/>
      <c r="G130" s="587"/>
      <c r="H130" s="587"/>
      <c r="I130" s="587" t="s">
        <v>748</v>
      </c>
      <c r="J130" s="589"/>
      <c r="K130" s="589"/>
      <c r="L130" s="585"/>
      <c r="M130" s="590"/>
      <c r="N130" s="589"/>
      <c r="O130" s="574"/>
      <c r="P130" s="571"/>
      <c r="Q130" s="566"/>
      <c r="R130" s="574" t="e">
        <f>+VLOOKUP(Q130,Impacto!$B$5:$D$9,2,FALSE)</f>
        <v>#N/A</v>
      </c>
      <c r="S130" s="571" t="e">
        <f>+VLOOKUP(Q130,Impacto!$B$5:$D$9,3,FALSE)</f>
        <v>#N/A</v>
      </c>
      <c r="T130" s="571"/>
      <c r="U130" s="568" t="str">
        <f t="shared" si="51"/>
        <v>Bajo</v>
      </c>
      <c r="V130" s="40">
        <v>2</v>
      </c>
      <c r="W130" s="38" t="s">
        <v>1137</v>
      </c>
      <c r="X130" s="35" t="str">
        <f t="shared" si="75"/>
        <v>Probabilidad</v>
      </c>
      <c r="Y130" s="42" t="s">
        <v>755</v>
      </c>
      <c r="Z130" s="42" t="s">
        <v>1136</v>
      </c>
      <c r="AA130" s="43" t="str">
        <f t="shared" si="76"/>
        <v>50%</v>
      </c>
      <c r="AB130" s="42" t="s">
        <v>738</v>
      </c>
      <c r="AC130" s="42" t="s">
        <v>757</v>
      </c>
      <c r="AD130" s="42" t="s">
        <v>758</v>
      </c>
      <c r="AE130" s="734" t="s">
        <v>1721</v>
      </c>
      <c r="AF130" s="27">
        <f>IFERROR(IF(AND(X129="Probabilidad",X130="Probabilidad"),(AF129-(+AF129*AA130)),IF(X130="Probabilidad",(P129-(P129*AA130)),IF(X130="Impacto",P129,""))),"")</f>
        <v>0.15</v>
      </c>
      <c r="AG130" s="37" t="str">
        <f>IFERROR(IF(AF130="","",IF(AF130&lt;=0.2,"Muy Baja",IF(AF130&lt;=0.4,"Baja",IF(AF130&lt;=0.6,"Media",IF(AF130&lt;=0.8,"Alta","Muy Alta"))))),"")</f>
        <v>Muy Baja</v>
      </c>
      <c r="AH130" s="27">
        <f>IFERROR(IF(AND(X129="Impacto",X130="Impacto"),(AH129-(+AH129*AA130)),IF(X130="Impacto",(S129-(+S129*AA130)),IF(X130="Probabilidad",AH129,""))),"")</f>
        <v>0.2</v>
      </c>
      <c r="AI130" s="37" t="str">
        <f>IFERROR(IF(AH130="","",IF(AH130&lt;=0.2,"Leve",IF(AH130&lt;=0.4,"Menor",IF(AH130&lt;=0.6,"Moderado",IF(AH130&lt;=0.8,"Mayor","Catastrófico"))))),"")</f>
        <v>Leve</v>
      </c>
      <c r="AJ130" s="36">
        <f>+AF130*AH130</f>
        <v>0.03</v>
      </c>
      <c r="AK130" s="340" t="str">
        <f t="shared" si="52"/>
        <v>Bajo</v>
      </c>
      <c r="AL130" s="615"/>
      <c r="AM130" s="598"/>
      <c r="AN130" s="354"/>
      <c r="AO130" s="354"/>
      <c r="AP130" s="354"/>
      <c r="AQ130" s="354"/>
      <c r="AR130" s="354"/>
      <c r="AS130" s="354"/>
    </row>
    <row r="131" spans="2:45" ht="92.25" customHeight="1" x14ac:dyDescent="0.25">
      <c r="B131" s="555"/>
      <c r="C131" s="555"/>
      <c r="D131" s="580"/>
      <c r="E131" s="580"/>
      <c r="F131" s="580"/>
      <c r="G131" s="588"/>
      <c r="H131" s="588"/>
      <c r="I131" s="588" t="s">
        <v>748</v>
      </c>
      <c r="J131" s="584"/>
      <c r="K131" s="584"/>
      <c r="L131" s="580"/>
      <c r="M131" s="582"/>
      <c r="N131" s="584"/>
      <c r="O131" s="575"/>
      <c r="P131" s="572"/>
      <c r="Q131" s="555"/>
      <c r="R131" s="575" t="e">
        <f>+VLOOKUP(Q131,Impacto!$B$5:$D$9,2,FALSE)</f>
        <v>#N/A</v>
      </c>
      <c r="S131" s="572" t="e">
        <f>+VLOOKUP(Q131,Impacto!$B$5:$D$9,3,FALSE)</f>
        <v>#N/A</v>
      </c>
      <c r="T131" s="572"/>
      <c r="U131" s="569" t="str">
        <f t="shared" si="51"/>
        <v>Bajo</v>
      </c>
      <c r="V131" s="40">
        <v>3</v>
      </c>
      <c r="W131" s="38" t="s">
        <v>1138</v>
      </c>
      <c r="X131" s="35" t="str">
        <f t="shared" si="75"/>
        <v>Probabilidad</v>
      </c>
      <c r="Y131" s="42" t="s">
        <v>755</v>
      </c>
      <c r="Z131" s="42" t="s">
        <v>1136</v>
      </c>
      <c r="AA131" s="43" t="str">
        <f t="shared" si="76"/>
        <v>50%</v>
      </c>
      <c r="AB131" s="42" t="s">
        <v>738</v>
      </c>
      <c r="AC131" s="42" t="s">
        <v>757</v>
      </c>
      <c r="AD131" s="42" t="s">
        <v>758</v>
      </c>
      <c r="AE131" s="38" t="s">
        <v>1476</v>
      </c>
      <c r="AF131" s="27">
        <f>IFERROR(IF(AND(X130="Probabilidad",X131="Probabilidad"),(AF130-(+AF130*AA131)),IF(X131="Probabilidad",(P129-(P129*AA131)),IF(X131="Impacto",P129,""))),"")</f>
        <v>7.4999999999999997E-2</v>
      </c>
      <c r="AG131" s="37" t="str">
        <f>IFERROR(IF(AF131="","",IF(AF131&lt;=0.2,"Muy Baja",IF(AF131&lt;=0.4,"Baja",IF(AF131&lt;=0.6,"Media",IF(AF131&lt;=0.8,"Alta","Muy Alta"))))),"")</f>
        <v>Muy Baja</v>
      </c>
      <c r="AH131" s="27">
        <f>IFERROR(IF(AND(X130="Impacto",X131="Impacto"),(AH130-(+AH130*AA131)),IF(X131="Impacto",(S129-(+S129*AA131)),IF(X131="Probabilidad",AH130,""))),"")</f>
        <v>0.2</v>
      </c>
      <c r="AI131" s="37" t="str">
        <f>IFERROR(IF(AH131="","",IF(AH131&lt;=0.2,"Leve",IF(AH131&lt;=0.4,"Menor",IF(AH131&lt;=0.6,"Moderado",IF(AH131&lt;=0.8,"Mayor","Catastrófico"))))),"")</f>
        <v>Leve</v>
      </c>
      <c r="AJ131" s="36">
        <f>+AF131*AH131</f>
        <v>1.4999999999999999E-2</v>
      </c>
      <c r="AK131" s="340" t="str">
        <f t="shared" si="52"/>
        <v>Bajo</v>
      </c>
      <c r="AL131" s="616"/>
      <c r="AM131" s="564"/>
      <c r="AN131" s="354"/>
      <c r="AO131" s="354"/>
      <c r="AP131" s="354"/>
      <c r="AQ131" s="354"/>
      <c r="AR131" s="354"/>
      <c r="AS131" s="354"/>
    </row>
    <row r="132" spans="2:45" ht="84" customHeight="1" x14ac:dyDescent="0.25">
      <c r="B132" s="554" t="s">
        <v>1130</v>
      </c>
      <c r="C132" s="554" t="s">
        <v>1131</v>
      </c>
      <c r="D132" s="560" t="s">
        <v>1139</v>
      </c>
      <c r="E132" s="591" t="s">
        <v>1582</v>
      </c>
      <c r="F132" s="560" t="s">
        <v>1404</v>
      </c>
      <c r="G132" s="558" t="s">
        <v>1140</v>
      </c>
      <c r="H132" s="558" t="s">
        <v>747</v>
      </c>
      <c r="I132" s="558" t="s">
        <v>748</v>
      </c>
      <c r="J132" s="578" t="s">
        <v>749</v>
      </c>
      <c r="K132" s="578" t="s">
        <v>750</v>
      </c>
      <c r="L132" s="560" t="s">
        <v>1134</v>
      </c>
      <c r="M132" s="561" t="s">
        <v>752</v>
      </c>
      <c r="N132" s="578">
        <v>365</v>
      </c>
      <c r="O132" s="573" t="str">
        <f t="shared" si="77"/>
        <v>Media</v>
      </c>
      <c r="P132" s="570">
        <f>+VLOOKUP(O132,Probabilidad!$B$5:$C$9,2,FALSE)</f>
        <v>0.6</v>
      </c>
      <c r="Q132" s="554" t="s">
        <v>786</v>
      </c>
      <c r="R132" s="573" t="str">
        <f>+VLOOKUP(Q132,Impacto!$B$5:$D$9,2,FALSE)</f>
        <v>Leve</v>
      </c>
      <c r="S132" s="570">
        <f>+VLOOKUP(Q132,Impacto!$B$5:$D$9,3,FALSE)</f>
        <v>0.2</v>
      </c>
      <c r="T132" s="570">
        <f t="shared" si="78"/>
        <v>0.12</v>
      </c>
      <c r="U132" s="567" t="str">
        <f t="shared" si="51"/>
        <v>Moderado</v>
      </c>
      <c r="V132" s="40">
        <v>1</v>
      </c>
      <c r="W132" s="38" t="s">
        <v>1141</v>
      </c>
      <c r="X132" s="35" t="str">
        <f t="shared" si="75"/>
        <v>Probabilidad</v>
      </c>
      <c r="Y132" s="42" t="s">
        <v>755</v>
      </c>
      <c r="Z132" s="42" t="s">
        <v>756</v>
      </c>
      <c r="AA132" s="43" t="str">
        <f t="shared" si="76"/>
        <v>40%</v>
      </c>
      <c r="AB132" s="42" t="s">
        <v>738</v>
      </c>
      <c r="AC132" s="42" t="s">
        <v>757</v>
      </c>
      <c r="AD132" s="42" t="s">
        <v>758</v>
      </c>
      <c r="AE132" s="38" t="s">
        <v>1477</v>
      </c>
      <c r="AF132" s="355">
        <f>IFERROR(IF(X132="Probabilidad",(P132-(P132*AA132)),IF(X132="Impacto",P132,"")),"")</f>
        <v>0.36</v>
      </c>
      <c r="AG132" s="37" t="str">
        <f t="shared" si="79"/>
        <v>Baja</v>
      </c>
      <c r="AH132" s="355">
        <f>IFERROR(IF(X132="Impacto",(S132-(S132*AA132)),IF(X132="Probabilidad",S132,"")),"")</f>
        <v>0.2</v>
      </c>
      <c r="AI132" s="37" t="str">
        <f t="shared" si="80"/>
        <v>Leve</v>
      </c>
      <c r="AJ132" s="36">
        <f t="shared" si="81"/>
        <v>7.1999999999999995E-2</v>
      </c>
      <c r="AK132" s="340" t="str">
        <f t="shared" si="52"/>
        <v>Bajo</v>
      </c>
      <c r="AL132" s="614" t="str">
        <f>+AK133</f>
        <v>Bajo</v>
      </c>
      <c r="AM132" s="563" t="s">
        <v>759</v>
      </c>
      <c r="AN132" s="354"/>
      <c r="AO132" s="354"/>
      <c r="AP132" s="354"/>
      <c r="AQ132" s="354"/>
      <c r="AR132" s="354"/>
      <c r="AS132" s="354"/>
    </row>
    <row r="133" spans="2:45" ht="84.75" customHeight="1" x14ac:dyDescent="0.25">
      <c r="B133" s="555"/>
      <c r="C133" s="555"/>
      <c r="D133" s="560"/>
      <c r="E133" s="560"/>
      <c r="F133" s="560"/>
      <c r="G133" s="558"/>
      <c r="H133" s="558"/>
      <c r="I133" s="558"/>
      <c r="J133" s="578"/>
      <c r="K133" s="578"/>
      <c r="L133" s="560"/>
      <c r="M133" s="561"/>
      <c r="N133" s="578"/>
      <c r="O133" s="575"/>
      <c r="P133" s="572"/>
      <c r="Q133" s="555"/>
      <c r="R133" s="575" t="e">
        <f>+VLOOKUP(Q133,Impacto!$B$5:$D$9,2,FALSE)</f>
        <v>#N/A</v>
      </c>
      <c r="S133" s="572" t="e">
        <f>+VLOOKUP(Q133,Impacto!$B$5:$D$9,3,FALSE)</f>
        <v>#N/A</v>
      </c>
      <c r="T133" s="572"/>
      <c r="U133" s="569" t="str">
        <f t="shared" si="51"/>
        <v>Bajo</v>
      </c>
      <c r="V133" s="40">
        <v>2</v>
      </c>
      <c r="W133" s="38" t="s">
        <v>1142</v>
      </c>
      <c r="X133" s="35" t="str">
        <f t="shared" si="75"/>
        <v>Probabilidad</v>
      </c>
      <c r="Y133" s="42" t="s">
        <v>755</v>
      </c>
      <c r="Z133" s="42" t="s">
        <v>756</v>
      </c>
      <c r="AA133" s="43" t="str">
        <f t="shared" si="76"/>
        <v>40%</v>
      </c>
      <c r="AB133" s="42" t="s">
        <v>738</v>
      </c>
      <c r="AC133" s="42" t="s">
        <v>757</v>
      </c>
      <c r="AD133" s="42" t="s">
        <v>758</v>
      </c>
      <c r="AE133" s="38" t="s">
        <v>1478</v>
      </c>
      <c r="AF133" s="27">
        <f>IFERROR(IF(AND(X132="Probabilidad",X133="Probabilidad"),(AF132-(+AF132*AA133)),IF(X133="Probabilidad",(P132-(P132*AA133)),IF(X133="Impacto",P132,""))),"")</f>
        <v>0.216</v>
      </c>
      <c r="AG133" s="37" t="str">
        <f>IFERROR(IF(AF133="","",IF(AF133&lt;=0.2,"Muy Baja",IF(AF133&lt;=0.4,"Baja",IF(AF133&lt;=0.6,"Media",IF(AF133&lt;=0.8,"Alta","Muy Alta"))))),"")</f>
        <v>Baja</v>
      </c>
      <c r="AH133" s="27">
        <f>IFERROR(IF(AND(X132="Impacto",X133="Impacto"),(AH132-(+AH132*AA133)),IF(X133="Impacto",(S132-(+S132*AA133)),IF(X133="Probabilidad",AH132,""))),"")</f>
        <v>0.2</v>
      </c>
      <c r="AI133" s="37" t="str">
        <f>IFERROR(IF(AH133="","",IF(AH133&lt;=0.2,"Leve",IF(AH133&lt;=0.4,"Menor",IF(AH133&lt;=0.6,"Moderado",IF(AH133&lt;=0.8,"Mayor","Catastrófico"))))),"")</f>
        <v>Leve</v>
      </c>
      <c r="AJ133" s="36">
        <f>+AF133*AH133</f>
        <v>4.3200000000000002E-2</v>
      </c>
      <c r="AK133" s="340" t="str">
        <f t="shared" si="52"/>
        <v>Bajo</v>
      </c>
      <c r="AL133" s="616"/>
      <c r="AM133" s="564"/>
      <c r="AN133" s="354"/>
      <c r="AO133" s="354"/>
      <c r="AP133" s="354"/>
      <c r="AQ133" s="354"/>
      <c r="AR133" s="354"/>
      <c r="AS133" s="354"/>
    </row>
    <row r="134" spans="2:45" ht="63.75" x14ac:dyDescent="0.25">
      <c r="B134" s="28" t="s">
        <v>1130</v>
      </c>
      <c r="C134" s="28" t="s">
        <v>1131</v>
      </c>
      <c r="D134" s="38" t="s">
        <v>1143</v>
      </c>
      <c r="E134" s="38" t="s">
        <v>1144</v>
      </c>
      <c r="F134" s="38" t="s">
        <v>1369</v>
      </c>
      <c r="G134" s="39" t="s">
        <v>783</v>
      </c>
      <c r="H134" s="28" t="s">
        <v>747</v>
      </c>
      <c r="I134" s="39" t="s">
        <v>748</v>
      </c>
      <c r="J134" s="41" t="s">
        <v>784</v>
      </c>
      <c r="K134" s="41" t="s">
        <v>750</v>
      </c>
      <c r="L134" s="38" t="s">
        <v>785</v>
      </c>
      <c r="M134" s="40" t="s">
        <v>752</v>
      </c>
      <c r="N134" s="41">
        <v>5</v>
      </c>
      <c r="O134" s="370" t="str">
        <f t="shared" si="77"/>
        <v>Baja</v>
      </c>
      <c r="P134" s="355">
        <f>+VLOOKUP(O134,Probabilidad!$B$5:$C$9,2,FALSE)</f>
        <v>0.4</v>
      </c>
      <c r="Q134" s="28" t="s">
        <v>786</v>
      </c>
      <c r="R134" s="371" t="str">
        <f>+VLOOKUP(Q134,Impacto!$B$5:$D$9,2,FALSE)</f>
        <v>Leve</v>
      </c>
      <c r="S134" s="355">
        <f>+VLOOKUP(Q134,Impacto!$B$5:$D$9,3,FALSE)</f>
        <v>0.2</v>
      </c>
      <c r="T134" s="355">
        <f t="shared" si="78"/>
        <v>8.0000000000000016E-2</v>
      </c>
      <c r="U134" s="340" t="str">
        <f t="shared" si="51"/>
        <v>Bajo</v>
      </c>
      <c r="V134" s="40">
        <v>1</v>
      </c>
      <c r="W134" s="38" t="s">
        <v>1145</v>
      </c>
      <c r="X134" s="35" t="str">
        <f t="shared" si="75"/>
        <v>Probabilidad</v>
      </c>
      <c r="Y134" s="42" t="s">
        <v>755</v>
      </c>
      <c r="Z134" s="42" t="s">
        <v>756</v>
      </c>
      <c r="AA134" s="43" t="str">
        <f t="shared" si="76"/>
        <v>40%</v>
      </c>
      <c r="AB134" s="42" t="s">
        <v>738</v>
      </c>
      <c r="AC134" s="42" t="s">
        <v>757</v>
      </c>
      <c r="AD134" s="42" t="s">
        <v>758</v>
      </c>
      <c r="AE134" s="734" t="s">
        <v>1432</v>
      </c>
      <c r="AF134" s="355">
        <f>IFERROR(IF(X134="Probabilidad",(P134-(P134*AA134)),IF(X134="Impacto",P134,"")),"")</f>
        <v>0.24</v>
      </c>
      <c r="AG134" s="37" t="str">
        <f t="shared" si="79"/>
        <v>Baja</v>
      </c>
      <c r="AH134" s="355">
        <f>IFERROR(IF(X134="Impacto",(S134-(S134*AA134)),IF(X134="Probabilidad",S134,"")),"")</f>
        <v>0.2</v>
      </c>
      <c r="AI134" s="37" t="str">
        <f t="shared" si="80"/>
        <v>Leve</v>
      </c>
      <c r="AJ134" s="36">
        <f t="shared" si="81"/>
        <v>4.8000000000000001E-2</v>
      </c>
      <c r="AK134" s="340" t="str">
        <f t="shared" si="52"/>
        <v>Bajo</v>
      </c>
      <c r="AL134" s="365" t="str">
        <f t="shared" si="60"/>
        <v>Bajo</v>
      </c>
      <c r="AM134" s="26" t="s">
        <v>759</v>
      </c>
      <c r="AN134" s="354"/>
      <c r="AO134" s="354"/>
      <c r="AP134" s="354"/>
      <c r="AQ134" s="354"/>
      <c r="AR134" s="354"/>
      <c r="AS134" s="354"/>
    </row>
    <row r="135" spans="2:45" ht="99.75" customHeight="1" x14ac:dyDescent="0.25">
      <c r="B135" s="554" t="s">
        <v>1130</v>
      </c>
      <c r="C135" s="554" t="s">
        <v>1147</v>
      </c>
      <c r="D135" s="560" t="s">
        <v>1148</v>
      </c>
      <c r="E135" s="560" t="s">
        <v>1672</v>
      </c>
      <c r="F135" s="560" t="s">
        <v>1405</v>
      </c>
      <c r="G135" s="558" t="s">
        <v>1149</v>
      </c>
      <c r="H135" s="558" t="s">
        <v>747</v>
      </c>
      <c r="I135" s="558" t="s">
        <v>748</v>
      </c>
      <c r="J135" s="578" t="s">
        <v>749</v>
      </c>
      <c r="K135" s="578" t="s">
        <v>750</v>
      </c>
      <c r="L135" s="560" t="s">
        <v>785</v>
      </c>
      <c r="M135" s="561" t="s">
        <v>752</v>
      </c>
      <c r="N135" s="578">
        <v>150</v>
      </c>
      <c r="O135" s="573" t="str">
        <f t="shared" si="77"/>
        <v>Media</v>
      </c>
      <c r="P135" s="570">
        <f>+VLOOKUP(O135,Probabilidad!$B$5:$C$9,2,FALSE)</f>
        <v>0.6</v>
      </c>
      <c r="Q135" s="554" t="s">
        <v>753</v>
      </c>
      <c r="R135" s="573" t="str">
        <f>+VLOOKUP(Q135,Impacto!$B$5:$D$9,2,FALSE)</f>
        <v>Mayor</v>
      </c>
      <c r="S135" s="570">
        <f>+VLOOKUP(Q135,Impacto!$B$5:$D$9,3,FALSE)</f>
        <v>0.8</v>
      </c>
      <c r="T135" s="570">
        <f t="shared" si="78"/>
        <v>0.48</v>
      </c>
      <c r="U135" s="567" t="str">
        <f t="shared" si="51"/>
        <v>Alto</v>
      </c>
      <c r="V135" s="40">
        <v>1</v>
      </c>
      <c r="W135" s="38" t="s">
        <v>1150</v>
      </c>
      <c r="X135" s="35" t="str">
        <f t="shared" si="75"/>
        <v>Probabilidad</v>
      </c>
      <c r="Y135" s="42" t="s">
        <v>755</v>
      </c>
      <c r="Z135" s="42" t="s">
        <v>756</v>
      </c>
      <c r="AA135" s="43" t="str">
        <f t="shared" si="76"/>
        <v>40%</v>
      </c>
      <c r="AB135" s="42" t="s">
        <v>738</v>
      </c>
      <c r="AC135" s="42" t="s">
        <v>757</v>
      </c>
      <c r="AD135" s="42" t="s">
        <v>758</v>
      </c>
      <c r="AE135" s="38" t="s">
        <v>1146</v>
      </c>
      <c r="AF135" s="355">
        <f>IFERROR(IF(X135="Probabilidad",(P135-(P135*AA135)),IF(X135="Impacto",P135,"")),"")</f>
        <v>0.36</v>
      </c>
      <c r="AG135" s="37" t="str">
        <f>IFERROR(IF(AF135="","",IF(AF135&lt;=0.2,"Muy Baja",IF(AF135&lt;=0.4,"Baja",IF(AF135&lt;=0.6,"Media",IF(AF135&lt;=0.8,"Alta","Muy Alta"))))),"")</f>
        <v>Baja</v>
      </c>
      <c r="AH135" s="355">
        <f>IFERROR(IF(X135="Impacto",(S135-(S135*AA135)),IF(X135="Probabilidad",S135,"")),"")</f>
        <v>0.8</v>
      </c>
      <c r="AI135" s="37" t="str">
        <f>IFERROR(IF(AH135="","",IF(AH135&lt;=0.2,"Leve",IF(AH135&lt;=0.4,"Menor",IF(AH135&lt;=0.6,"Moderado",IF(AH135&lt;=0.8,"Mayor","Catastrófico"))))),"")</f>
        <v>Mayor</v>
      </c>
      <c r="AJ135" s="36">
        <f>+AF135*AH135</f>
        <v>0.28799999999999998</v>
      </c>
      <c r="AK135" s="340" t="str">
        <f t="shared" si="52"/>
        <v>Moderado</v>
      </c>
      <c r="AL135" s="614" t="str">
        <f>+AK136</f>
        <v>Moderado</v>
      </c>
      <c r="AM135" s="563" t="s">
        <v>759</v>
      </c>
      <c r="AN135" s="39" t="s">
        <v>1540</v>
      </c>
      <c r="AO135" s="39" t="s">
        <v>1541</v>
      </c>
      <c r="AP135" s="383">
        <v>45474</v>
      </c>
      <c r="AQ135" s="336" t="s">
        <v>762</v>
      </c>
      <c r="AR135" s="40" t="s">
        <v>1236</v>
      </c>
      <c r="AS135" s="41" t="s">
        <v>764</v>
      </c>
    </row>
    <row r="136" spans="2:45" ht="89.25" customHeight="1" x14ac:dyDescent="0.25">
      <c r="B136" s="555"/>
      <c r="C136" s="555"/>
      <c r="D136" s="560"/>
      <c r="E136" s="560"/>
      <c r="F136" s="560"/>
      <c r="G136" s="558"/>
      <c r="H136" s="558"/>
      <c r="I136" s="558"/>
      <c r="J136" s="578"/>
      <c r="K136" s="578"/>
      <c r="L136" s="560"/>
      <c r="M136" s="561"/>
      <c r="N136" s="578"/>
      <c r="O136" s="575"/>
      <c r="P136" s="572"/>
      <c r="Q136" s="555"/>
      <c r="R136" s="575" t="e">
        <f>+VLOOKUP(Q136,Impacto!$B$5:$D$9,2,FALSE)</f>
        <v>#N/A</v>
      </c>
      <c r="S136" s="572" t="e">
        <f>+VLOOKUP(Q136,Impacto!$B$5:$D$9,3,FALSE)</f>
        <v>#N/A</v>
      </c>
      <c r="T136" s="572"/>
      <c r="U136" s="569" t="str">
        <f t="shared" si="51"/>
        <v>Bajo</v>
      </c>
      <c r="V136" s="40">
        <v>2</v>
      </c>
      <c r="W136" s="38" t="s">
        <v>1151</v>
      </c>
      <c r="X136" s="35" t="str">
        <f t="shared" si="75"/>
        <v>Probabilidad</v>
      </c>
      <c r="Y136" s="42" t="s">
        <v>755</v>
      </c>
      <c r="Z136" s="42" t="s">
        <v>756</v>
      </c>
      <c r="AA136" s="43" t="str">
        <f t="shared" si="76"/>
        <v>40%</v>
      </c>
      <c r="AB136" s="42" t="s">
        <v>738</v>
      </c>
      <c r="AC136" s="42" t="s">
        <v>757</v>
      </c>
      <c r="AD136" s="42" t="s">
        <v>758</v>
      </c>
      <c r="AE136" s="38" t="s">
        <v>1479</v>
      </c>
      <c r="AF136" s="27">
        <f>IFERROR(IF(AND(X135="Probabilidad",X136="Probabilidad"),(AF135-(+AF135*AA136)),IF(X136="Probabilidad",(P135-(P135*AA136)),IF(X136="Impacto",P135,""))),"")</f>
        <v>0.216</v>
      </c>
      <c r="AG136" s="37" t="str">
        <f>IFERROR(IF(AF136="","",IF(AF136&lt;=0.2,"Muy Baja",IF(AF136&lt;=0.4,"Baja",IF(AF136&lt;=0.6,"Media",IF(AF136&lt;=0.8,"Alta","Muy Alta"))))),"")</f>
        <v>Baja</v>
      </c>
      <c r="AH136" s="27">
        <f>IFERROR(IF(AND(X135="Impacto",X136="Impacto"),(AH135-(+AH135*AA136)),IF(X136="Impacto",(S135-(+S135*AA136)),IF(X136="Probabilidad",AH135,""))),"")</f>
        <v>0.8</v>
      </c>
      <c r="AI136" s="37" t="str">
        <f>IFERROR(IF(AH136="","",IF(AH136&lt;=0.2,"Leve",IF(AH136&lt;=0.4,"Menor",IF(AH136&lt;=0.6,"Moderado",IF(AH136&lt;=0.8,"Mayor","Catastrófico"))))),"")</f>
        <v>Mayor</v>
      </c>
      <c r="AJ136" s="36">
        <f>+AF136*AH136</f>
        <v>0.17280000000000001</v>
      </c>
      <c r="AK136" s="340" t="str">
        <f t="shared" si="52"/>
        <v>Moderado</v>
      </c>
      <c r="AL136" s="616"/>
      <c r="AM136" s="564"/>
      <c r="AN136" s="39" t="s">
        <v>1542</v>
      </c>
      <c r="AO136" s="39" t="s">
        <v>1541</v>
      </c>
      <c r="AP136" s="383">
        <v>45474</v>
      </c>
      <c r="AQ136" s="336" t="s">
        <v>762</v>
      </c>
      <c r="AR136" s="40" t="s">
        <v>1236</v>
      </c>
      <c r="AS136" s="41" t="s">
        <v>764</v>
      </c>
    </row>
    <row r="137" spans="2:45" ht="85.5" customHeight="1" x14ac:dyDescent="0.25">
      <c r="B137" s="28" t="s">
        <v>1130</v>
      </c>
      <c r="C137" s="28" t="s">
        <v>1147</v>
      </c>
      <c r="D137" s="38" t="s">
        <v>1152</v>
      </c>
      <c r="E137" s="38" t="s">
        <v>782</v>
      </c>
      <c r="F137" s="38" t="s">
        <v>1380</v>
      </c>
      <c r="G137" s="39" t="s">
        <v>783</v>
      </c>
      <c r="H137" s="28" t="s">
        <v>747</v>
      </c>
      <c r="I137" s="39" t="s">
        <v>748</v>
      </c>
      <c r="J137" s="41" t="s">
        <v>784</v>
      </c>
      <c r="K137" s="41" t="s">
        <v>750</v>
      </c>
      <c r="L137" s="38" t="s">
        <v>785</v>
      </c>
      <c r="M137" s="40" t="s">
        <v>752</v>
      </c>
      <c r="N137" s="41">
        <v>5</v>
      </c>
      <c r="O137" s="370" t="str">
        <f t="shared" si="77"/>
        <v>Baja</v>
      </c>
      <c r="P137" s="355">
        <f>+VLOOKUP(O137,Probabilidad!$B$5:$C$9,2,FALSE)</f>
        <v>0.4</v>
      </c>
      <c r="Q137" s="28" t="s">
        <v>786</v>
      </c>
      <c r="R137" s="371" t="str">
        <f>+VLOOKUP(Q137,Impacto!$B$5:$D$9,2,FALSE)</f>
        <v>Leve</v>
      </c>
      <c r="S137" s="355">
        <f>+VLOOKUP(Q137,Impacto!$B$5:$D$9,3,FALSE)</f>
        <v>0.2</v>
      </c>
      <c r="T137" s="355">
        <f t="shared" si="78"/>
        <v>8.0000000000000016E-2</v>
      </c>
      <c r="U137" s="340" t="str">
        <f t="shared" ref="U137:U174" si="82">+IF(T137&lt;=11%,"Bajo",IF(AND(T137&gt;=12%,T137&lt;=39%),"Moderado",IF(AND(T137&gt;=40%,T137&lt;=64%),"Alto",IF(T137&gt;64%,"Extremo",""))))</f>
        <v>Bajo</v>
      </c>
      <c r="V137" s="40">
        <v>1</v>
      </c>
      <c r="W137" s="38" t="s">
        <v>1153</v>
      </c>
      <c r="X137" s="35" t="str">
        <f t="shared" si="75"/>
        <v>Probabilidad</v>
      </c>
      <c r="Y137" s="42" t="s">
        <v>755</v>
      </c>
      <c r="Z137" s="42" t="s">
        <v>756</v>
      </c>
      <c r="AA137" s="43" t="str">
        <f t="shared" si="76"/>
        <v>40%</v>
      </c>
      <c r="AB137" s="42" t="s">
        <v>738</v>
      </c>
      <c r="AC137" s="42" t="s">
        <v>757</v>
      </c>
      <c r="AD137" s="42" t="s">
        <v>758</v>
      </c>
      <c r="AE137" s="38" t="s">
        <v>1432</v>
      </c>
      <c r="AF137" s="355">
        <f>IFERROR(IF(X137="Probabilidad",(P137-(P137*AA137)),IF(X137="Impacto",P137,"")),"")</f>
        <v>0.24</v>
      </c>
      <c r="AG137" s="37" t="str">
        <f t="shared" si="79"/>
        <v>Baja</v>
      </c>
      <c r="AH137" s="355">
        <f>IFERROR(IF(X137="Impacto",(S137-(S137*AA137)),IF(X137="Probabilidad",S137,"")),"")</f>
        <v>0.2</v>
      </c>
      <c r="AI137" s="37" t="str">
        <f t="shared" si="80"/>
        <v>Leve</v>
      </c>
      <c r="AJ137" s="36">
        <f t="shared" si="81"/>
        <v>4.8000000000000001E-2</v>
      </c>
      <c r="AK137" s="340" t="str">
        <f t="shared" ref="AK137:AK174" si="83">+IF(AJ137&lt;=11%,"Bajo",IF(AND(AJ137&gt;=12%,AJ137&lt;=39%),"Moderado",IF(AND(AJ137&gt;=40%,AJ137&lt;=64%),"Alto",IF(AJ137&gt;64%,"Extremo",""))))</f>
        <v>Bajo</v>
      </c>
      <c r="AL137" s="365" t="str">
        <f t="shared" si="60"/>
        <v>Bajo</v>
      </c>
      <c r="AM137" s="26" t="s">
        <v>759</v>
      </c>
      <c r="AN137" s="354"/>
      <c r="AO137" s="354"/>
      <c r="AP137" s="354"/>
      <c r="AQ137" s="354"/>
      <c r="AR137" s="354"/>
      <c r="AS137" s="354"/>
    </row>
    <row r="138" spans="2:45" ht="95.25" customHeight="1" x14ac:dyDescent="0.25">
      <c r="B138" s="554" t="s">
        <v>1154</v>
      </c>
      <c r="C138" s="554" t="s">
        <v>1154</v>
      </c>
      <c r="D138" s="558" t="s">
        <v>1155</v>
      </c>
      <c r="E138" s="560" t="s">
        <v>1156</v>
      </c>
      <c r="F138" s="560" t="s">
        <v>1406</v>
      </c>
      <c r="G138" s="558" t="s">
        <v>1157</v>
      </c>
      <c r="H138" s="558" t="s">
        <v>747</v>
      </c>
      <c r="I138" s="558" t="s">
        <v>748</v>
      </c>
      <c r="J138" s="578" t="s">
        <v>749</v>
      </c>
      <c r="K138" s="578" t="s">
        <v>750</v>
      </c>
      <c r="L138" s="560" t="s">
        <v>1158</v>
      </c>
      <c r="M138" s="561" t="s">
        <v>752</v>
      </c>
      <c r="N138" s="578">
        <f>365*219</f>
        <v>79935</v>
      </c>
      <c r="O138" s="573" t="str">
        <f t="shared" si="77"/>
        <v>Muy Alta</v>
      </c>
      <c r="P138" s="570">
        <f>+VLOOKUP(O138,Probabilidad!$B$5:$C$9,2,FALSE)</f>
        <v>1</v>
      </c>
      <c r="Q138" s="554" t="s">
        <v>786</v>
      </c>
      <c r="R138" s="573" t="str">
        <f>+VLOOKUP(Q138,Impacto!$B$5:$D$9,2,FALSE)</f>
        <v>Leve</v>
      </c>
      <c r="S138" s="570">
        <f>+VLOOKUP(Q138,Impacto!$B$5:$D$9,3,FALSE)</f>
        <v>0.2</v>
      </c>
      <c r="T138" s="570">
        <f t="shared" si="78"/>
        <v>0.2</v>
      </c>
      <c r="U138" s="567" t="str">
        <f t="shared" si="82"/>
        <v>Moderado</v>
      </c>
      <c r="V138" s="40">
        <v>1</v>
      </c>
      <c r="W138" s="38" t="s">
        <v>1407</v>
      </c>
      <c r="X138" s="35" t="str">
        <f t="shared" si="75"/>
        <v>Probabilidad</v>
      </c>
      <c r="Y138" s="42" t="s">
        <v>755</v>
      </c>
      <c r="Z138" s="42" t="s">
        <v>756</v>
      </c>
      <c r="AA138" s="43" t="str">
        <f t="shared" si="76"/>
        <v>40%</v>
      </c>
      <c r="AB138" s="42" t="s">
        <v>738</v>
      </c>
      <c r="AC138" s="42" t="s">
        <v>757</v>
      </c>
      <c r="AD138" s="42" t="s">
        <v>758</v>
      </c>
      <c r="AE138" s="38" t="s">
        <v>1480</v>
      </c>
      <c r="AF138" s="355">
        <f>IFERROR(IF(X138="Probabilidad",(P138-(P138*AA138)),IF(X138="Impacto",P138,"")),"")</f>
        <v>0.6</v>
      </c>
      <c r="AG138" s="37" t="str">
        <f t="shared" ref="AG138:AG143" si="84">IFERROR(IF(AF138="","",IF(AF138&lt;=0.2,"Muy Baja",IF(AF138&lt;=0.4,"Baja",IF(AF138&lt;=0.6,"Media",IF(AF138&lt;=0.8,"Alta","Muy Alta"))))),"")</f>
        <v>Media</v>
      </c>
      <c r="AH138" s="355">
        <f>IFERROR(IF(X138="Impacto",(S138-(S138*AA138)),IF(X138="Probabilidad",S138,"")),"")</f>
        <v>0.2</v>
      </c>
      <c r="AI138" s="37" t="str">
        <f t="shared" ref="AI138:AI143" si="85">IFERROR(IF(AH138="","",IF(AH138&lt;=0.2,"Leve",IF(AH138&lt;=0.4,"Menor",IF(AH138&lt;=0.6,"Moderado",IF(AH138&lt;=0.8,"Mayor","Catastrófico"))))),"")</f>
        <v>Leve</v>
      </c>
      <c r="AJ138" s="36">
        <f t="shared" ref="AJ138:AJ155" si="86">+AF138*AH138</f>
        <v>0.12</v>
      </c>
      <c r="AK138" s="340" t="str">
        <f t="shared" si="83"/>
        <v>Moderado</v>
      </c>
      <c r="AL138" s="614" t="str">
        <f>+AK139</f>
        <v>Bajo</v>
      </c>
      <c r="AM138" s="563" t="s">
        <v>759</v>
      </c>
      <c r="AN138" s="354"/>
      <c r="AO138" s="354"/>
      <c r="AP138" s="354"/>
      <c r="AQ138" s="354"/>
      <c r="AR138" s="354"/>
      <c r="AS138" s="354"/>
    </row>
    <row r="139" spans="2:45" ht="65.25" customHeight="1" x14ac:dyDescent="0.25">
      <c r="B139" s="555"/>
      <c r="C139" s="555"/>
      <c r="D139" s="558"/>
      <c r="E139" s="560"/>
      <c r="F139" s="560"/>
      <c r="G139" s="558"/>
      <c r="H139" s="558"/>
      <c r="I139" s="558"/>
      <c r="J139" s="578"/>
      <c r="K139" s="578"/>
      <c r="L139" s="560"/>
      <c r="M139" s="561"/>
      <c r="N139" s="578"/>
      <c r="O139" s="575"/>
      <c r="P139" s="572"/>
      <c r="Q139" s="555"/>
      <c r="R139" s="575" t="e">
        <f>+VLOOKUP(Q139,Impacto!$B$5:$D$9,2,FALSE)</f>
        <v>#N/A</v>
      </c>
      <c r="S139" s="572" t="e">
        <f>+VLOOKUP(Q139,Impacto!$B$5:$D$9,3,FALSE)</f>
        <v>#N/A</v>
      </c>
      <c r="T139" s="572"/>
      <c r="U139" s="569" t="str">
        <f t="shared" si="82"/>
        <v>Bajo</v>
      </c>
      <c r="V139" s="40">
        <v>2</v>
      </c>
      <c r="W139" s="38" t="s">
        <v>1159</v>
      </c>
      <c r="X139" s="35" t="str">
        <f t="shared" si="75"/>
        <v>Probabilidad</v>
      </c>
      <c r="Y139" s="42" t="s">
        <v>755</v>
      </c>
      <c r="Z139" s="42" t="s">
        <v>756</v>
      </c>
      <c r="AA139" s="43" t="str">
        <f t="shared" si="76"/>
        <v>40%</v>
      </c>
      <c r="AB139" s="42" t="s">
        <v>738</v>
      </c>
      <c r="AC139" s="42" t="s">
        <v>757</v>
      </c>
      <c r="AD139" s="42" t="s">
        <v>758</v>
      </c>
      <c r="AE139" s="38" t="s">
        <v>1160</v>
      </c>
      <c r="AF139" s="27">
        <f>IFERROR(IF(AND(X138="Probabilidad",X139="Probabilidad"),(AF138-(+AF138*AA139)),IF(X139="Probabilidad",(P138-(P138*AA139)),IF(X139="Impacto",P138,""))),"")</f>
        <v>0.36</v>
      </c>
      <c r="AG139" s="37" t="str">
        <f t="shared" si="84"/>
        <v>Baja</v>
      </c>
      <c r="AH139" s="27">
        <f>IFERROR(IF(AND(X138="Impacto",X139="Impacto"),(AH138-(+AH138*AA139)),IF(X139="Impacto",(S138-(+S138*AA139)),IF(X139="Probabilidad",AH138,""))),"")</f>
        <v>0.2</v>
      </c>
      <c r="AI139" s="37" t="str">
        <f t="shared" si="85"/>
        <v>Leve</v>
      </c>
      <c r="AJ139" s="36">
        <f t="shared" si="86"/>
        <v>7.1999999999999995E-2</v>
      </c>
      <c r="AK139" s="340" t="str">
        <f t="shared" si="83"/>
        <v>Bajo</v>
      </c>
      <c r="AL139" s="616"/>
      <c r="AM139" s="564"/>
      <c r="AN139" s="354"/>
      <c r="AO139" s="354"/>
      <c r="AP139" s="354"/>
      <c r="AQ139" s="354"/>
      <c r="AR139" s="354"/>
      <c r="AS139" s="354"/>
    </row>
    <row r="140" spans="2:45" ht="63.75" x14ac:dyDescent="0.25">
      <c r="B140" s="28" t="s">
        <v>1154</v>
      </c>
      <c r="C140" s="28" t="s">
        <v>1154</v>
      </c>
      <c r="D140" s="39" t="s">
        <v>1161</v>
      </c>
      <c r="E140" s="38" t="s">
        <v>1162</v>
      </c>
      <c r="F140" s="38" t="s">
        <v>1408</v>
      </c>
      <c r="G140" s="39" t="s">
        <v>1163</v>
      </c>
      <c r="H140" s="28" t="s">
        <v>747</v>
      </c>
      <c r="I140" s="39" t="s">
        <v>748</v>
      </c>
      <c r="J140" s="41" t="s">
        <v>749</v>
      </c>
      <c r="K140" s="41" t="s">
        <v>750</v>
      </c>
      <c r="L140" s="38" t="s">
        <v>1158</v>
      </c>
      <c r="M140" s="40" t="s">
        <v>752</v>
      </c>
      <c r="N140" s="41">
        <v>243</v>
      </c>
      <c r="O140" s="370" t="str">
        <f t="shared" si="77"/>
        <v>Media</v>
      </c>
      <c r="P140" s="355">
        <f>+VLOOKUP(O140,Probabilidad!$B$5:$C$9,2,FALSE)</f>
        <v>0.6</v>
      </c>
      <c r="Q140" s="28" t="s">
        <v>786</v>
      </c>
      <c r="R140" s="371" t="str">
        <f>+VLOOKUP(Q140,Impacto!$B$5:$D$9,2,FALSE)</f>
        <v>Leve</v>
      </c>
      <c r="S140" s="355">
        <f>+VLOOKUP(Q140,Impacto!$B$5:$D$9,3,FALSE)</f>
        <v>0.2</v>
      </c>
      <c r="T140" s="355">
        <f t="shared" si="78"/>
        <v>0.12</v>
      </c>
      <c r="U140" s="340" t="str">
        <f t="shared" si="82"/>
        <v>Moderado</v>
      </c>
      <c r="V140" s="40">
        <v>1</v>
      </c>
      <c r="W140" s="38" t="s">
        <v>1164</v>
      </c>
      <c r="X140" s="35" t="str">
        <f t="shared" si="75"/>
        <v>Probabilidad</v>
      </c>
      <c r="Y140" s="42" t="s">
        <v>755</v>
      </c>
      <c r="Z140" s="42" t="s">
        <v>756</v>
      </c>
      <c r="AA140" s="43" t="str">
        <f t="shared" si="76"/>
        <v>40%</v>
      </c>
      <c r="AB140" s="42" t="s">
        <v>738</v>
      </c>
      <c r="AC140" s="42" t="s">
        <v>757</v>
      </c>
      <c r="AD140" s="42" t="s">
        <v>758</v>
      </c>
      <c r="AE140" s="38" t="s">
        <v>1165</v>
      </c>
      <c r="AF140" s="355">
        <f>IFERROR(IF(X140="Probabilidad",(P140-(P140*AA140)),IF(X140="Impacto",P140,"")),"")</f>
        <v>0.36</v>
      </c>
      <c r="AG140" s="37" t="str">
        <f t="shared" si="84"/>
        <v>Baja</v>
      </c>
      <c r="AH140" s="355">
        <f>IFERROR(IF(X140="Impacto",(S140-(S140*AA140)),IF(X140="Probabilidad",S140,"")),"")</f>
        <v>0.2</v>
      </c>
      <c r="AI140" s="37" t="str">
        <f t="shared" si="85"/>
        <v>Leve</v>
      </c>
      <c r="AJ140" s="36">
        <f t="shared" si="86"/>
        <v>7.1999999999999995E-2</v>
      </c>
      <c r="AK140" s="340" t="str">
        <f t="shared" si="83"/>
        <v>Bajo</v>
      </c>
      <c r="AL140" s="365" t="str">
        <f t="shared" si="60"/>
        <v>Bajo</v>
      </c>
      <c r="AM140" s="26" t="s">
        <v>759</v>
      </c>
      <c r="AN140" s="354"/>
      <c r="AO140" s="354"/>
      <c r="AP140" s="354"/>
      <c r="AQ140" s="354"/>
      <c r="AR140" s="354"/>
      <c r="AS140" s="354"/>
    </row>
    <row r="141" spans="2:45" ht="66" customHeight="1" x14ac:dyDescent="0.25">
      <c r="B141" s="28" t="s">
        <v>1154</v>
      </c>
      <c r="C141" s="28" t="s">
        <v>1154</v>
      </c>
      <c r="D141" s="39" t="s">
        <v>1166</v>
      </c>
      <c r="E141" s="38" t="s">
        <v>1167</v>
      </c>
      <c r="F141" s="38" t="s">
        <v>1085</v>
      </c>
      <c r="G141" s="39" t="s">
        <v>1456</v>
      </c>
      <c r="H141" s="28" t="s">
        <v>991</v>
      </c>
      <c r="I141" s="39" t="s">
        <v>748</v>
      </c>
      <c r="J141" s="38" t="s">
        <v>791</v>
      </c>
      <c r="K141" s="41" t="s">
        <v>750</v>
      </c>
      <c r="L141" s="39" t="s">
        <v>992</v>
      </c>
      <c r="M141" s="40" t="s">
        <v>752</v>
      </c>
      <c r="N141" s="41">
        <v>2</v>
      </c>
      <c r="O141" s="370" t="str">
        <f t="shared" si="77"/>
        <v>Muy Baja</v>
      </c>
      <c r="P141" s="355">
        <f>+VLOOKUP(O141,Probabilidad!$B$5:$C$9,2,FALSE)</f>
        <v>0.2</v>
      </c>
      <c r="Q141" s="28" t="s">
        <v>770</v>
      </c>
      <c r="R141" s="371" t="str">
        <f>+VLOOKUP(Q141,Impacto!$B$5:$D$9,2,FALSE)</f>
        <v>Moderado</v>
      </c>
      <c r="S141" s="355">
        <f>+VLOOKUP(Q141,Impacto!$B$5:$D$9,3,FALSE)</f>
        <v>0.6</v>
      </c>
      <c r="T141" s="355">
        <f t="shared" si="78"/>
        <v>0.12</v>
      </c>
      <c r="U141" s="340" t="str">
        <f t="shared" si="82"/>
        <v>Moderado</v>
      </c>
      <c r="V141" s="40">
        <v>1</v>
      </c>
      <c r="W141" s="38" t="s">
        <v>1168</v>
      </c>
      <c r="X141" s="35" t="str">
        <f t="shared" si="75"/>
        <v>Probabilidad</v>
      </c>
      <c r="Y141" s="42" t="s">
        <v>755</v>
      </c>
      <c r="Z141" s="42" t="s">
        <v>756</v>
      </c>
      <c r="AA141" s="43" t="str">
        <f t="shared" si="76"/>
        <v>40%</v>
      </c>
      <c r="AB141" s="42" t="s">
        <v>738</v>
      </c>
      <c r="AC141" s="42" t="s">
        <v>757</v>
      </c>
      <c r="AD141" s="42" t="s">
        <v>758</v>
      </c>
      <c r="AE141" s="38" t="s">
        <v>1466</v>
      </c>
      <c r="AF141" s="355">
        <f>IFERROR(IF(X141="Probabilidad",(P141-(P141*AA141)),IF(X141="Impacto",P141,"")),"")</f>
        <v>0.12</v>
      </c>
      <c r="AG141" s="37" t="str">
        <f t="shared" si="84"/>
        <v>Muy Baja</v>
      </c>
      <c r="AH141" s="355">
        <f>IFERROR(IF(X141="Impacto",(S141-(S141*AA141)),IF(X141="Probabilidad",S141,"")),"")</f>
        <v>0.6</v>
      </c>
      <c r="AI141" s="37" t="str">
        <f t="shared" si="85"/>
        <v>Moderado</v>
      </c>
      <c r="AJ141" s="36">
        <f t="shared" si="86"/>
        <v>7.1999999999999995E-2</v>
      </c>
      <c r="AK141" s="340" t="str">
        <f t="shared" si="83"/>
        <v>Bajo</v>
      </c>
      <c r="AL141" s="365" t="str">
        <f t="shared" si="60"/>
        <v>Bajo</v>
      </c>
      <c r="AM141" s="26" t="s">
        <v>759</v>
      </c>
      <c r="AN141" s="354"/>
      <c r="AO141" s="354"/>
      <c r="AP141" s="354"/>
      <c r="AQ141" s="354"/>
      <c r="AR141" s="354"/>
      <c r="AS141" s="354"/>
    </row>
    <row r="142" spans="2:45" ht="114.75" customHeight="1" x14ac:dyDescent="0.25">
      <c r="B142" s="554" t="s">
        <v>1169</v>
      </c>
      <c r="C142" s="554" t="s">
        <v>1169</v>
      </c>
      <c r="D142" s="586" t="s">
        <v>1170</v>
      </c>
      <c r="E142" s="579" t="s">
        <v>1171</v>
      </c>
      <c r="F142" s="579" t="s">
        <v>1409</v>
      </c>
      <c r="G142" s="586" t="s">
        <v>1410</v>
      </c>
      <c r="H142" s="586" t="s">
        <v>747</v>
      </c>
      <c r="I142" s="586" t="s">
        <v>748</v>
      </c>
      <c r="J142" s="583" t="s">
        <v>749</v>
      </c>
      <c r="K142" s="583" t="s">
        <v>750</v>
      </c>
      <c r="L142" s="579" t="s">
        <v>751</v>
      </c>
      <c r="M142" s="581" t="s">
        <v>752</v>
      </c>
      <c r="N142" s="583">
        <v>12</v>
      </c>
      <c r="O142" s="573" t="str">
        <f t="shared" si="77"/>
        <v>Baja</v>
      </c>
      <c r="P142" s="570">
        <f>+VLOOKUP(O142,Probabilidad!$B$5:$C$9,2,FALSE)</f>
        <v>0.4</v>
      </c>
      <c r="Q142" s="554" t="s">
        <v>770</v>
      </c>
      <c r="R142" s="573" t="str">
        <f>+VLOOKUP(Q142,Impacto!$B$5:$D$9,2,FALSE)</f>
        <v>Moderado</v>
      </c>
      <c r="S142" s="570">
        <f>+VLOOKUP(Q142,Impacto!$B$5:$D$9,3,FALSE)</f>
        <v>0.6</v>
      </c>
      <c r="T142" s="570">
        <f t="shared" si="78"/>
        <v>0.24</v>
      </c>
      <c r="U142" s="567" t="str">
        <f t="shared" si="82"/>
        <v>Moderado</v>
      </c>
      <c r="V142" s="40">
        <v>1</v>
      </c>
      <c r="W142" s="38" t="s">
        <v>1172</v>
      </c>
      <c r="X142" s="35" t="str">
        <f t="shared" si="75"/>
        <v>Probabilidad</v>
      </c>
      <c r="Y142" s="42" t="s">
        <v>755</v>
      </c>
      <c r="Z142" s="42" t="s">
        <v>756</v>
      </c>
      <c r="AA142" s="43" t="str">
        <f t="shared" si="76"/>
        <v>40%</v>
      </c>
      <c r="AB142" s="42" t="s">
        <v>738</v>
      </c>
      <c r="AC142" s="42" t="s">
        <v>757</v>
      </c>
      <c r="AD142" s="42" t="s">
        <v>758</v>
      </c>
      <c r="AE142" s="38" t="s">
        <v>1481</v>
      </c>
      <c r="AF142" s="355">
        <f>IFERROR(IF(X142="Probabilidad",(P142-(P142*AA142)),IF(X142="Impacto",P142,"")),"")</f>
        <v>0.24</v>
      </c>
      <c r="AG142" s="37" t="str">
        <f t="shared" si="84"/>
        <v>Baja</v>
      </c>
      <c r="AH142" s="355">
        <f>IFERROR(IF(X142="Impacto",(S142-(S142*AA142)),IF(X142="Probabilidad",S142,"")),"")</f>
        <v>0.6</v>
      </c>
      <c r="AI142" s="37" t="str">
        <f t="shared" si="85"/>
        <v>Moderado</v>
      </c>
      <c r="AJ142" s="36">
        <f t="shared" si="86"/>
        <v>0.14399999999999999</v>
      </c>
      <c r="AK142" s="340" t="str">
        <f t="shared" si="83"/>
        <v>Moderado</v>
      </c>
      <c r="AL142" s="614" t="str">
        <f>+AK146</f>
        <v>Bajo</v>
      </c>
      <c r="AM142" s="563" t="s">
        <v>759</v>
      </c>
      <c r="AN142" s="354"/>
      <c r="AO142" s="354"/>
      <c r="AP142" s="354"/>
      <c r="AQ142" s="354"/>
      <c r="AR142" s="354"/>
      <c r="AS142" s="354"/>
    </row>
    <row r="143" spans="2:45" ht="76.5" x14ac:dyDescent="0.25">
      <c r="B143" s="566"/>
      <c r="C143" s="566"/>
      <c r="D143" s="587"/>
      <c r="E143" s="585"/>
      <c r="F143" s="585"/>
      <c r="G143" s="587"/>
      <c r="H143" s="587"/>
      <c r="I143" s="587"/>
      <c r="J143" s="589"/>
      <c r="K143" s="589"/>
      <c r="L143" s="585"/>
      <c r="M143" s="590"/>
      <c r="N143" s="589"/>
      <c r="O143" s="574"/>
      <c r="P143" s="571"/>
      <c r="Q143" s="566"/>
      <c r="R143" s="574" t="e">
        <f>+VLOOKUP(Q143,Impacto!$B$5:$D$9,2,FALSE)</f>
        <v>#N/A</v>
      </c>
      <c r="S143" s="571" t="e">
        <f>+VLOOKUP(Q143,Impacto!$B$5:$D$9,3,FALSE)</f>
        <v>#N/A</v>
      </c>
      <c r="T143" s="571"/>
      <c r="U143" s="568" t="str">
        <f t="shared" si="82"/>
        <v>Bajo</v>
      </c>
      <c r="V143" s="40">
        <v>2</v>
      </c>
      <c r="W143" s="38" t="s">
        <v>1173</v>
      </c>
      <c r="X143" s="35" t="str">
        <f t="shared" si="75"/>
        <v>Probabilidad</v>
      </c>
      <c r="Y143" s="42" t="s">
        <v>755</v>
      </c>
      <c r="Z143" s="42" t="s">
        <v>756</v>
      </c>
      <c r="AA143" s="43" t="str">
        <f t="shared" si="76"/>
        <v>40%</v>
      </c>
      <c r="AB143" s="42" t="s">
        <v>738</v>
      </c>
      <c r="AC143" s="42" t="s">
        <v>757</v>
      </c>
      <c r="AD143" s="42" t="s">
        <v>758</v>
      </c>
      <c r="AE143" s="38" t="s">
        <v>1482</v>
      </c>
      <c r="AF143" s="27">
        <f>IFERROR(IF(AND(X142="Probabilidad",X143="Probabilidad"),(AF142-(+AF142*AA143)),IF(X143="Probabilidad",(P142-(P142*AA143)),IF(X143="Impacto",P142,""))),"")</f>
        <v>0.14399999999999999</v>
      </c>
      <c r="AG143" s="37" t="str">
        <f t="shared" si="84"/>
        <v>Muy Baja</v>
      </c>
      <c r="AH143" s="27">
        <f>IFERROR(IF(AND(X142="Impacto",X143="Impacto"),(AH142-(+AH142*AA143)),IF(X143="Impacto",(S142-(+S142*AA143)),IF(X143="Probabilidad",AH142,""))),"")</f>
        <v>0.6</v>
      </c>
      <c r="AI143" s="37" t="str">
        <f t="shared" si="85"/>
        <v>Moderado</v>
      </c>
      <c r="AJ143" s="36">
        <f t="shared" si="86"/>
        <v>8.6399999999999991E-2</v>
      </c>
      <c r="AK143" s="340" t="str">
        <f t="shared" si="83"/>
        <v>Bajo</v>
      </c>
      <c r="AL143" s="615"/>
      <c r="AM143" s="598"/>
      <c r="AN143" s="354"/>
      <c r="AO143" s="354"/>
      <c r="AP143" s="354"/>
      <c r="AQ143" s="354"/>
      <c r="AR143" s="354"/>
      <c r="AS143" s="354"/>
    </row>
    <row r="144" spans="2:45" ht="76.5" x14ac:dyDescent="0.25">
      <c r="B144" s="566"/>
      <c r="C144" s="566"/>
      <c r="D144" s="587"/>
      <c r="E144" s="585"/>
      <c r="F144" s="585"/>
      <c r="G144" s="587"/>
      <c r="H144" s="587"/>
      <c r="I144" s="587"/>
      <c r="J144" s="589"/>
      <c r="K144" s="589"/>
      <c r="L144" s="585"/>
      <c r="M144" s="590"/>
      <c r="N144" s="589"/>
      <c r="O144" s="574"/>
      <c r="P144" s="571"/>
      <c r="Q144" s="566"/>
      <c r="R144" s="574" t="e">
        <f>+VLOOKUP(Q144,Impacto!$B$5:$D$9,2,FALSE)</f>
        <v>#N/A</v>
      </c>
      <c r="S144" s="571" t="e">
        <f>+VLOOKUP(Q144,Impacto!$B$5:$D$9,3,FALSE)</f>
        <v>#N/A</v>
      </c>
      <c r="T144" s="571"/>
      <c r="U144" s="568" t="str">
        <f t="shared" si="82"/>
        <v>Bajo</v>
      </c>
      <c r="V144" s="40">
        <v>3</v>
      </c>
      <c r="W144" s="38" t="s">
        <v>1174</v>
      </c>
      <c r="X144" s="35" t="str">
        <f t="shared" si="75"/>
        <v>Probabilidad</v>
      </c>
      <c r="Y144" s="42" t="s">
        <v>755</v>
      </c>
      <c r="Z144" s="42" t="s">
        <v>756</v>
      </c>
      <c r="AA144" s="43" t="str">
        <f t="shared" si="76"/>
        <v>40%</v>
      </c>
      <c r="AB144" s="42" t="s">
        <v>738</v>
      </c>
      <c r="AC144" s="42" t="s">
        <v>757</v>
      </c>
      <c r="AD144" s="42" t="s">
        <v>758</v>
      </c>
      <c r="AE144" s="38" t="s">
        <v>1483</v>
      </c>
      <c r="AF144" s="27">
        <f>IFERROR(IF(AND(X143="Probabilidad",X144="Probabilidad"),(AF143-(+AF143*AA144)),IF(X144="Probabilidad",(P142-(P142*AA144)),IF(X144="Impacto",P142,""))),"")</f>
        <v>8.6399999999999991E-2</v>
      </c>
      <c r="AG144" s="37" t="str">
        <f t="shared" ref="AG144:AG161" si="87">IFERROR(IF(AF144="","",IF(AF144&lt;=0.2,"Muy Baja",IF(AF144&lt;=0.4,"Baja",IF(AF144&lt;=0.6,"Media",IF(AF144&lt;=0.8,"Alta","Muy Alta"))))),"")</f>
        <v>Muy Baja</v>
      </c>
      <c r="AH144" s="27">
        <f>IFERROR(IF(AND(X143="Impacto",X144="Impacto"),(AH143-(+AH143*AA144)),IF(X144="Impacto",(S142-(+S142*AA144)),IF(X144="Probabilidad",AH143,""))),"")</f>
        <v>0.6</v>
      </c>
      <c r="AI144" s="37" t="str">
        <f t="shared" ref="AI144:AI161" si="88">IFERROR(IF(AH144="","",IF(AH144&lt;=0.2,"Leve",IF(AH144&lt;=0.4,"Menor",IF(AH144&lt;=0.6,"Moderado",IF(AH144&lt;=0.8,"Mayor","Catastrófico"))))),"")</f>
        <v>Moderado</v>
      </c>
      <c r="AJ144" s="36">
        <f t="shared" si="86"/>
        <v>5.183999999999999E-2</v>
      </c>
      <c r="AK144" s="340" t="str">
        <f t="shared" si="83"/>
        <v>Bajo</v>
      </c>
      <c r="AL144" s="615"/>
      <c r="AM144" s="598"/>
      <c r="AN144" s="354"/>
      <c r="AO144" s="354"/>
      <c r="AP144" s="354"/>
      <c r="AQ144" s="354"/>
      <c r="AR144" s="354"/>
      <c r="AS144" s="354"/>
    </row>
    <row r="145" spans="2:45" ht="76.5" x14ac:dyDescent="0.25">
      <c r="B145" s="566"/>
      <c r="C145" s="566"/>
      <c r="D145" s="587"/>
      <c r="E145" s="585"/>
      <c r="F145" s="585"/>
      <c r="G145" s="587"/>
      <c r="H145" s="587"/>
      <c r="I145" s="587"/>
      <c r="J145" s="589"/>
      <c r="K145" s="589"/>
      <c r="L145" s="585"/>
      <c r="M145" s="590"/>
      <c r="N145" s="589"/>
      <c r="O145" s="574"/>
      <c r="P145" s="571"/>
      <c r="Q145" s="566"/>
      <c r="R145" s="574" t="e">
        <f>+VLOOKUP(Q145,Impacto!$B$5:$D$9,2,FALSE)</f>
        <v>#N/A</v>
      </c>
      <c r="S145" s="571" t="e">
        <f>+VLOOKUP(Q145,Impacto!$B$5:$D$9,3,FALSE)</f>
        <v>#N/A</v>
      </c>
      <c r="T145" s="571"/>
      <c r="U145" s="568" t="str">
        <f t="shared" si="82"/>
        <v>Bajo</v>
      </c>
      <c r="V145" s="40">
        <v>4</v>
      </c>
      <c r="W145" s="38" t="s">
        <v>1175</v>
      </c>
      <c r="X145" s="35" t="str">
        <f t="shared" si="75"/>
        <v>Probabilidad</v>
      </c>
      <c r="Y145" s="42" t="s">
        <v>755</v>
      </c>
      <c r="Z145" s="42" t="s">
        <v>756</v>
      </c>
      <c r="AA145" s="43" t="str">
        <f t="shared" si="76"/>
        <v>40%</v>
      </c>
      <c r="AB145" s="42" t="s">
        <v>738</v>
      </c>
      <c r="AC145" s="42" t="s">
        <v>757</v>
      </c>
      <c r="AD145" s="42" t="s">
        <v>758</v>
      </c>
      <c r="AE145" s="38" t="s">
        <v>1484</v>
      </c>
      <c r="AF145" s="27">
        <f>IFERROR(IF(AND(X144="Probabilidad",X145="Probabilidad"),(AF144-(+AF144*AA145)),IF(X145="Probabilidad",(P142-(P142*AA145)),IF(X145="Impacto",P142,""))),"")</f>
        <v>5.183999999999999E-2</v>
      </c>
      <c r="AG145" s="37" t="str">
        <f t="shared" si="87"/>
        <v>Muy Baja</v>
      </c>
      <c r="AH145" s="27">
        <f>IFERROR(IF(AND(X144="Impacto",X145="Impacto"),(AH144-(+AH144*AA145)),IF(X145="Impacto",(S142-(+S142*AA145)),IF(X145="Probabilidad",AH144,""))),"")</f>
        <v>0.6</v>
      </c>
      <c r="AI145" s="37" t="str">
        <f t="shared" si="88"/>
        <v>Moderado</v>
      </c>
      <c r="AJ145" s="36">
        <f t="shared" si="86"/>
        <v>3.1103999999999993E-2</v>
      </c>
      <c r="AK145" s="340" t="str">
        <f t="shared" si="83"/>
        <v>Bajo</v>
      </c>
      <c r="AL145" s="615"/>
      <c r="AM145" s="598"/>
      <c r="AN145" s="354"/>
      <c r="AO145" s="354"/>
      <c r="AP145" s="354"/>
      <c r="AQ145" s="354"/>
      <c r="AR145" s="354"/>
      <c r="AS145" s="354"/>
    </row>
    <row r="146" spans="2:45" ht="63.75" x14ac:dyDescent="0.25">
      <c r="B146" s="555"/>
      <c r="C146" s="555"/>
      <c r="D146" s="588"/>
      <c r="E146" s="580"/>
      <c r="F146" s="580"/>
      <c r="G146" s="588"/>
      <c r="H146" s="588"/>
      <c r="I146" s="588"/>
      <c r="J146" s="584"/>
      <c r="K146" s="584"/>
      <c r="L146" s="580"/>
      <c r="M146" s="582"/>
      <c r="N146" s="584"/>
      <c r="O146" s="575"/>
      <c r="P146" s="572"/>
      <c r="Q146" s="555"/>
      <c r="R146" s="575" t="e">
        <f>+VLOOKUP(Q146,Impacto!$B$5:$D$9,2,FALSE)</f>
        <v>#N/A</v>
      </c>
      <c r="S146" s="572" t="e">
        <f>+VLOOKUP(Q146,Impacto!$B$5:$D$9,3,FALSE)</f>
        <v>#N/A</v>
      </c>
      <c r="T146" s="572"/>
      <c r="U146" s="569" t="str">
        <f t="shared" si="82"/>
        <v>Bajo</v>
      </c>
      <c r="V146" s="40">
        <v>5</v>
      </c>
      <c r="W146" s="38" t="s">
        <v>1176</v>
      </c>
      <c r="X146" s="35" t="str">
        <f t="shared" si="75"/>
        <v>Probabilidad</v>
      </c>
      <c r="Y146" s="42" t="s">
        <v>755</v>
      </c>
      <c r="Z146" s="42" t="s">
        <v>756</v>
      </c>
      <c r="AA146" s="43" t="str">
        <f t="shared" si="76"/>
        <v>40%</v>
      </c>
      <c r="AB146" s="42" t="s">
        <v>738</v>
      </c>
      <c r="AC146" s="42" t="s">
        <v>757</v>
      </c>
      <c r="AD146" s="42" t="s">
        <v>758</v>
      </c>
      <c r="AE146" s="38" t="s">
        <v>1543</v>
      </c>
      <c r="AF146" s="27">
        <f>IFERROR(IF(AND(X145="Probabilidad",X146="Probabilidad"),(AF145-(+AF145*AA146)),IF(X146="Probabilidad",(P142-(P142*AA146)),IF(X146="Impacto",P142,""))),"")</f>
        <v>3.1103999999999993E-2</v>
      </c>
      <c r="AG146" s="37" t="str">
        <f t="shared" si="87"/>
        <v>Muy Baja</v>
      </c>
      <c r="AH146" s="27">
        <f>IFERROR(IF(AND(X145="Impacto",X146="Impacto"),(AH145-(+AH145*AA146)),IF(X146="Impacto",(S142-(+S142*AA146)),IF(X146="Probabilidad",AH145,""))),"")</f>
        <v>0.6</v>
      </c>
      <c r="AI146" s="37" t="str">
        <f t="shared" si="88"/>
        <v>Moderado</v>
      </c>
      <c r="AJ146" s="36">
        <f t="shared" si="86"/>
        <v>1.8662399999999996E-2</v>
      </c>
      <c r="AK146" s="340" t="str">
        <f t="shared" si="83"/>
        <v>Bajo</v>
      </c>
      <c r="AL146" s="616"/>
      <c r="AM146" s="564"/>
      <c r="AN146" s="354"/>
      <c r="AO146" s="354"/>
      <c r="AP146" s="354"/>
      <c r="AQ146" s="354"/>
      <c r="AR146" s="354"/>
      <c r="AS146" s="354"/>
    </row>
    <row r="147" spans="2:45" ht="103.5" customHeight="1" x14ac:dyDescent="0.25">
      <c r="B147" s="554" t="s">
        <v>1177</v>
      </c>
      <c r="C147" s="554" t="s">
        <v>1177</v>
      </c>
      <c r="D147" s="586" t="s">
        <v>1178</v>
      </c>
      <c r="E147" s="579" t="s">
        <v>1179</v>
      </c>
      <c r="F147" s="579" t="s">
        <v>1722</v>
      </c>
      <c r="G147" s="586" t="s">
        <v>1180</v>
      </c>
      <c r="H147" s="586" t="s">
        <v>747</v>
      </c>
      <c r="I147" s="586" t="s">
        <v>748</v>
      </c>
      <c r="J147" s="579" t="s">
        <v>791</v>
      </c>
      <c r="K147" s="583" t="s">
        <v>750</v>
      </c>
      <c r="L147" s="579" t="s">
        <v>785</v>
      </c>
      <c r="M147" s="581" t="s">
        <v>752</v>
      </c>
      <c r="N147" s="583">
        <v>605</v>
      </c>
      <c r="O147" s="573" t="str">
        <f t="shared" si="77"/>
        <v>Alta</v>
      </c>
      <c r="P147" s="570">
        <f>+VLOOKUP(O147,Probabilidad!$B$5:$C$9,2,FALSE)</f>
        <v>0.8</v>
      </c>
      <c r="Q147" s="554" t="s">
        <v>786</v>
      </c>
      <c r="R147" s="573" t="str">
        <f>+VLOOKUP(Q147,Impacto!$B$5:$D$9,2,FALSE)</f>
        <v>Leve</v>
      </c>
      <c r="S147" s="570">
        <f>+VLOOKUP(Q147,Impacto!$B$5:$D$9,3,FALSE)</f>
        <v>0.2</v>
      </c>
      <c r="T147" s="570">
        <f t="shared" si="78"/>
        <v>0.16000000000000003</v>
      </c>
      <c r="U147" s="567" t="str">
        <f t="shared" si="82"/>
        <v>Moderado</v>
      </c>
      <c r="V147" s="40">
        <v>1</v>
      </c>
      <c r="W147" s="38" t="s">
        <v>1181</v>
      </c>
      <c r="X147" s="35" t="str">
        <f t="shared" si="75"/>
        <v>Probabilidad</v>
      </c>
      <c r="Y147" s="42" t="s">
        <v>755</v>
      </c>
      <c r="Z147" s="42" t="s">
        <v>756</v>
      </c>
      <c r="AA147" s="43" t="str">
        <f t="shared" si="76"/>
        <v>40%</v>
      </c>
      <c r="AB147" s="42" t="s">
        <v>738</v>
      </c>
      <c r="AC147" s="42" t="s">
        <v>757</v>
      </c>
      <c r="AD147" s="42" t="s">
        <v>758</v>
      </c>
      <c r="AE147" s="38" t="s">
        <v>1485</v>
      </c>
      <c r="AF147" s="355">
        <f>IFERROR(IF(X147="Probabilidad",(P147-(P147*AA147)),IF(X147="Impacto",P147,"")),"")</f>
        <v>0.48</v>
      </c>
      <c r="AG147" s="37" t="str">
        <f t="shared" si="87"/>
        <v>Media</v>
      </c>
      <c r="AH147" s="355">
        <f>IFERROR(IF(X147="Impacto",(S147-(S147*AA147)),IF(X147="Probabilidad",S147,"")),"")</f>
        <v>0.2</v>
      </c>
      <c r="AI147" s="37" t="str">
        <f t="shared" si="88"/>
        <v>Leve</v>
      </c>
      <c r="AJ147" s="36">
        <f t="shared" si="86"/>
        <v>9.6000000000000002E-2</v>
      </c>
      <c r="AK147" s="340" t="str">
        <f t="shared" si="83"/>
        <v>Bajo</v>
      </c>
      <c r="AL147" s="614" t="str">
        <f>+AK148</f>
        <v>Bajo</v>
      </c>
      <c r="AM147" s="563" t="s">
        <v>759</v>
      </c>
      <c r="AN147" s="354"/>
      <c r="AO147" s="354"/>
      <c r="AP147" s="354"/>
      <c r="AQ147" s="354"/>
      <c r="AR147" s="354"/>
      <c r="AS147" s="354"/>
    </row>
    <row r="148" spans="2:45" ht="74.25" customHeight="1" x14ac:dyDescent="0.25">
      <c r="B148" s="555"/>
      <c r="C148" s="555"/>
      <c r="D148" s="588"/>
      <c r="E148" s="580"/>
      <c r="F148" s="580"/>
      <c r="G148" s="588"/>
      <c r="H148" s="588"/>
      <c r="I148" s="588"/>
      <c r="J148" s="580"/>
      <c r="K148" s="584"/>
      <c r="L148" s="580"/>
      <c r="M148" s="582"/>
      <c r="N148" s="584"/>
      <c r="O148" s="575"/>
      <c r="P148" s="572"/>
      <c r="Q148" s="555"/>
      <c r="R148" s="575" t="e">
        <f>+VLOOKUP(Q148,Impacto!$B$5:$D$9,2,FALSE)</f>
        <v>#N/A</v>
      </c>
      <c r="S148" s="572" t="e">
        <f>+VLOOKUP(Q148,Impacto!$B$5:$D$9,3,FALSE)</f>
        <v>#N/A</v>
      </c>
      <c r="T148" s="572"/>
      <c r="U148" s="569" t="str">
        <f t="shared" si="82"/>
        <v>Bajo</v>
      </c>
      <c r="V148" s="40">
        <v>2</v>
      </c>
      <c r="W148" s="38" t="s">
        <v>1182</v>
      </c>
      <c r="X148" s="35" t="str">
        <f t="shared" si="75"/>
        <v>Probabilidad</v>
      </c>
      <c r="Y148" s="42" t="s">
        <v>755</v>
      </c>
      <c r="Z148" s="42" t="s">
        <v>756</v>
      </c>
      <c r="AA148" s="43" t="str">
        <f t="shared" si="76"/>
        <v>40%</v>
      </c>
      <c r="AB148" s="42" t="s">
        <v>738</v>
      </c>
      <c r="AC148" s="42" t="s">
        <v>757</v>
      </c>
      <c r="AD148" s="42" t="s">
        <v>758</v>
      </c>
      <c r="AE148" s="38" t="s">
        <v>1486</v>
      </c>
      <c r="AF148" s="27">
        <f>IFERROR(IF(AND(X147="Probabilidad",X148="Probabilidad"),(AF147-(+AF147*AA148)),IF(X148="Probabilidad",(P147-(P147*AA148)),IF(X148="Impacto",P147,""))),"")</f>
        <v>0.28799999999999998</v>
      </c>
      <c r="AG148" s="37" t="str">
        <f>IFERROR(IF(AF148="","",IF(AF148&lt;=0.2,"Muy Baja",IF(AF148&lt;=0.4,"Baja",IF(AF148&lt;=0.6,"Media",IF(AF148&lt;=0.8,"Alta","Muy Alta"))))),"")</f>
        <v>Baja</v>
      </c>
      <c r="AH148" s="27">
        <f>IFERROR(IF(AND(X147="Impacto",X148="Impacto"),(AH147-(+AH147*AA148)),IF(X148="Impacto",(S147-(+S147*AA148)),IF(X148="Probabilidad",AH147,""))),"")</f>
        <v>0.2</v>
      </c>
      <c r="AI148" s="37" t="str">
        <f>IFERROR(IF(AH148="","",IF(AH148&lt;=0.2,"Leve",IF(AH148&lt;=0.4,"Menor",IF(AH148&lt;=0.6,"Moderado",IF(AH148&lt;=0.8,"Mayor","Catastrófico"))))),"")</f>
        <v>Leve</v>
      </c>
      <c r="AJ148" s="36">
        <f t="shared" si="86"/>
        <v>5.7599999999999998E-2</v>
      </c>
      <c r="AK148" s="340" t="str">
        <f t="shared" si="83"/>
        <v>Bajo</v>
      </c>
      <c r="AL148" s="616"/>
      <c r="AM148" s="564"/>
      <c r="AN148" s="354"/>
      <c r="AO148" s="354"/>
      <c r="AP148" s="354"/>
      <c r="AQ148" s="354"/>
      <c r="AR148" s="354"/>
      <c r="AS148" s="354"/>
    </row>
    <row r="149" spans="2:45" ht="63.75" x14ac:dyDescent="0.25">
      <c r="B149" s="28" t="s">
        <v>1177</v>
      </c>
      <c r="C149" s="28" t="s">
        <v>1177</v>
      </c>
      <c r="D149" s="39" t="s">
        <v>1428</v>
      </c>
      <c r="E149" s="38" t="s">
        <v>1084</v>
      </c>
      <c r="F149" s="38" t="s">
        <v>1085</v>
      </c>
      <c r="G149" s="39" t="s">
        <v>1456</v>
      </c>
      <c r="H149" s="28" t="s">
        <v>991</v>
      </c>
      <c r="I149" s="39" t="s">
        <v>748</v>
      </c>
      <c r="J149" s="38" t="s">
        <v>791</v>
      </c>
      <c r="K149" s="41" t="s">
        <v>750</v>
      </c>
      <c r="L149" s="39" t="s">
        <v>992</v>
      </c>
      <c r="M149" s="40" t="s">
        <v>752</v>
      </c>
      <c r="N149" s="41">
        <v>2</v>
      </c>
      <c r="O149" s="370" t="str">
        <f t="shared" si="77"/>
        <v>Muy Baja</v>
      </c>
      <c r="P149" s="355">
        <f>+VLOOKUP(O149,Probabilidad!$B$5:$C$9,2,FALSE)</f>
        <v>0.2</v>
      </c>
      <c r="Q149" s="28" t="s">
        <v>770</v>
      </c>
      <c r="R149" s="371" t="str">
        <f>+VLOOKUP(Q149,Impacto!$B$5:$D$9,2,FALSE)</f>
        <v>Moderado</v>
      </c>
      <c r="S149" s="355">
        <f>+VLOOKUP(Q149,Impacto!$B$5:$D$9,3,FALSE)</f>
        <v>0.6</v>
      </c>
      <c r="T149" s="355">
        <f t="shared" si="78"/>
        <v>0.12</v>
      </c>
      <c r="U149" s="340" t="str">
        <f t="shared" si="82"/>
        <v>Moderado</v>
      </c>
      <c r="V149" s="40">
        <v>1</v>
      </c>
      <c r="W149" s="38" t="s">
        <v>1183</v>
      </c>
      <c r="X149" s="35" t="str">
        <f t="shared" si="75"/>
        <v>Probabilidad</v>
      </c>
      <c r="Y149" s="42" t="s">
        <v>755</v>
      </c>
      <c r="Z149" s="42" t="s">
        <v>756</v>
      </c>
      <c r="AA149" s="43" t="str">
        <f t="shared" si="76"/>
        <v>40%</v>
      </c>
      <c r="AB149" s="42" t="s">
        <v>738</v>
      </c>
      <c r="AC149" s="42" t="s">
        <v>757</v>
      </c>
      <c r="AD149" s="42" t="s">
        <v>758</v>
      </c>
      <c r="AE149" s="38" t="s">
        <v>1466</v>
      </c>
      <c r="AF149" s="355">
        <f t="shared" ref="AF149:AF154" si="89">IFERROR(IF(X149="Probabilidad",(P149-(P149*AA149)),IF(X149="Impacto",P149,"")),"")</f>
        <v>0.12</v>
      </c>
      <c r="AG149" s="37" t="str">
        <f t="shared" si="87"/>
        <v>Muy Baja</v>
      </c>
      <c r="AH149" s="355">
        <f t="shared" ref="AH149:AH154" si="90">IFERROR(IF(X149="Impacto",(S149-(S149*AA149)),IF(X149="Probabilidad",S149,"")),"")</f>
        <v>0.6</v>
      </c>
      <c r="AI149" s="37" t="str">
        <f t="shared" si="88"/>
        <v>Moderado</v>
      </c>
      <c r="AJ149" s="36">
        <f t="shared" si="86"/>
        <v>7.1999999999999995E-2</v>
      </c>
      <c r="AK149" s="340" t="str">
        <f t="shared" si="83"/>
        <v>Bajo</v>
      </c>
      <c r="AL149" s="365" t="str">
        <f t="shared" si="60"/>
        <v>Bajo</v>
      </c>
      <c r="AM149" s="26" t="s">
        <v>759</v>
      </c>
      <c r="AN149" s="354"/>
      <c r="AO149" s="354"/>
      <c r="AP149" s="354"/>
      <c r="AQ149" s="354"/>
      <c r="AR149" s="354"/>
      <c r="AS149" s="354"/>
    </row>
    <row r="150" spans="2:45" ht="102" x14ac:dyDescent="0.25">
      <c r="B150" s="28" t="s">
        <v>1184</v>
      </c>
      <c r="C150" s="28" t="s">
        <v>1185</v>
      </c>
      <c r="D150" s="38" t="s">
        <v>1186</v>
      </c>
      <c r="E150" s="38" t="s">
        <v>1187</v>
      </c>
      <c r="F150" s="38" t="s">
        <v>1411</v>
      </c>
      <c r="G150" s="39" t="s">
        <v>1188</v>
      </c>
      <c r="H150" s="385" t="s">
        <v>747</v>
      </c>
      <c r="I150" s="39" t="s">
        <v>1267</v>
      </c>
      <c r="J150" s="41" t="s">
        <v>749</v>
      </c>
      <c r="K150" s="41" t="s">
        <v>750</v>
      </c>
      <c r="L150" s="38" t="s">
        <v>751</v>
      </c>
      <c r="M150" s="40" t="s">
        <v>752</v>
      </c>
      <c r="N150" s="41">
        <v>6000</v>
      </c>
      <c r="O150" s="370" t="str">
        <f t="shared" si="77"/>
        <v>Muy Alta</v>
      </c>
      <c r="P150" s="355">
        <f>+VLOOKUP(O150,Probabilidad!$B$5:$C$9,2,FALSE)</f>
        <v>1</v>
      </c>
      <c r="Q150" s="28" t="s">
        <v>753</v>
      </c>
      <c r="R150" s="371" t="str">
        <f>+VLOOKUP(Q150,Impacto!$B$5:$D$9,2,FALSE)</f>
        <v>Mayor</v>
      </c>
      <c r="S150" s="355">
        <f>+VLOOKUP(Q150,Impacto!$B$5:$D$9,3,FALSE)</f>
        <v>0.8</v>
      </c>
      <c r="T150" s="355">
        <f t="shared" si="78"/>
        <v>0.8</v>
      </c>
      <c r="U150" s="340" t="str">
        <f t="shared" si="82"/>
        <v>Extremo</v>
      </c>
      <c r="V150" s="40">
        <v>1</v>
      </c>
      <c r="W150" s="38" t="s">
        <v>1503</v>
      </c>
      <c r="X150" s="35" t="str">
        <f t="shared" si="75"/>
        <v>Probabilidad</v>
      </c>
      <c r="Y150" s="42" t="s">
        <v>755</v>
      </c>
      <c r="Z150" s="42" t="s">
        <v>756</v>
      </c>
      <c r="AA150" s="43" t="str">
        <f t="shared" si="76"/>
        <v>40%</v>
      </c>
      <c r="AB150" s="42" t="s">
        <v>738</v>
      </c>
      <c r="AC150" s="42" t="s">
        <v>757</v>
      </c>
      <c r="AD150" s="42" t="s">
        <v>758</v>
      </c>
      <c r="AE150" s="38" t="s">
        <v>1491</v>
      </c>
      <c r="AF150" s="355">
        <f t="shared" si="89"/>
        <v>0.6</v>
      </c>
      <c r="AG150" s="37" t="str">
        <f t="shared" si="87"/>
        <v>Media</v>
      </c>
      <c r="AH150" s="355">
        <f t="shared" si="90"/>
        <v>0.8</v>
      </c>
      <c r="AI150" s="37" t="str">
        <f t="shared" si="88"/>
        <v>Mayor</v>
      </c>
      <c r="AJ150" s="36">
        <f t="shared" si="86"/>
        <v>0.48</v>
      </c>
      <c r="AK150" s="340" t="str">
        <f t="shared" si="83"/>
        <v>Alto</v>
      </c>
      <c r="AL150" s="365" t="str">
        <f t="shared" si="60"/>
        <v>Alto</v>
      </c>
      <c r="AM150" s="26" t="s">
        <v>759</v>
      </c>
      <c r="AN150" s="354"/>
      <c r="AO150" s="354"/>
      <c r="AP150" s="354"/>
      <c r="AQ150" s="354"/>
      <c r="AR150" s="354"/>
      <c r="AS150" s="354"/>
    </row>
    <row r="151" spans="2:45" ht="102" x14ac:dyDescent="0.25">
      <c r="B151" s="28" t="s">
        <v>1184</v>
      </c>
      <c r="C151" s="28" t="s">
        <v>1185</v>
      </c>
      <c r="D151" s="38" t="s">
        <v>1189</v>
      </c>
      <c r="E151" s="38" t="s">
        <v>1673</v>
      </c>
      <c r="F151" s="38" t="s">
        <v>1412</v>
      </c>
      <c r="G151" s="39" t="s">
        <v>1190</v>
      </c>
      <c r="H151" s="385" t="s">
        <v>747</v>
      </c>
      <c r="I151" s="39" t="s">
        <v>748</v>
      </c>
      <c r="J151" s="41" t="s">
        <v>749</v>
      </c>
      <c r="K151" s="41" t="s">
        <v>750</v>
      </c>
      <c r="L151" s="38" t="s">
        <v>751</v>
      </c>
      <c r="M151" s="40" t="s">
        <v>752</v>
      </c>
      <c r="N151" s="41">
        <v>5000</v>
      </c>
      <c r="O151" s="370" t="str">
        <f t="shared" si="77"/>
        <v>Alta</v>
      </c>
      <c r="P151" s="355">
        <f>+VLOOKUP(O151,Probabilidad!$B$5:$C$9,2,FALSE)</f>
        <v>0.8</v>
      </c>
      <c r="Q151" s="28" t="s">
        <v>786</v>
      </c>
      <c r="R151" s="371" t="str">
        <f>+VLOOKUP(Q151,Impacto!$B$5:$D$9,2,FALSE)</f>
        <v>Leve</v>
      </c>
      <c r="S151" s="355">
        <f>+VLOOKUP(Q151,Impacto!$B$5:$D$9,3,FALSE)</f>
        <v>0.2</v>
      </c>
      <c r="T151" s="355">
        <f t="shared" si="78"/>
        <v>0.16000000000000003</v>
      </c>
      <c r="U151" s="340" t="str">
        <f t="shared" si="82"/>
        <v>Moderado</v>
      </c>
      <c r="V151" s="40">
        <v>1</v>
      </c>
      <c r="W151" s="38" t="s">
        <v>1504</v>
      </c>
      <c r="X151" s="35" t="str">
        <f t="shared" si="75"/>
        <v>Probabilidad</v>
      </c>
      <c r="Y151" s="42" t="s">
        <v>755</v>
      </c>
      <c r="Z151" s="42" t="s">
        <v>756</v>
      </c>
      <c r="AA151" s="43" t="str">
        <f t="shared" si="76"/>
        <v>40%</v>
      </c>
      <c r="AB151" s="42" t="s">
        <v>738</v>
      </c>
      <c r="AC151" s="42" t="s">
        <v>757</v>
      </c>
      <c r="AD151" s="42" t="s">
        <v>758</v>
      </c>
      <c r="AE151" s="38" t="s">
        <v>1505</v>
      </c>
      <c r="AF151" s="355">
        <f t="shared" si="89"/>
        <v>0.48</v>
      </c>
      <c r="AG151" s="37" t="str">
        <f t="shared" si="87"/>
        <v>Media</v>
      </c>
      <c r="AH151" s="355">
        <f t="shared" si="90"/>
        <v>0.2</v>
      </c>
      <c r="AI151" s="37" t="str">
        <f t="shared" si="88"/>
        <v>Leve</v>
      </c>
      <c r="AJ151" s="36">
        <f>+AF151*AH151</f>
        <v>9.6000000000000002E-2</v>
      </c>
      <c r="AK151" s="340" t="str">
        <f t="shared" si="83"/>
        <v>Bajo</v>
      </c>
      <c r="AL151" s="365" t="str">
        <f t="shared" si="60"/>
        <v>Bajo</v>
      </c>
      <c r="AM151" s="26" t="s">
        <v>759</v>
      </c>
      <c r="AN151" s="354"/>
      <c r="AO151" s="354"/>
      <c r="AP151" s="354"/>
      <c r="AQ151" s="354"/>
      <c r="AR151" s="354"/>
      <c r="AS151" s="354"/>
    </row>
    <row r="152" spans="2:45" ht="89.25" x14ac:dyDescent="0.25">
      <c r="B152" s="28" t="s">
        <v>1184</v>
      </c>
      <c r="C152" s="28" t="s">
        <v>1185</v>
      </c>
      <c r="D152" s="38" t="s">
        <v>1191</v>
      </c>
      <c r="E152" s="38" t="s">
        <v>1192</v>
      </c>
      <c r="F152" s="38" t="s">
        <v>1193</v>
      </c>
      <c r="G152" s="39" t="s">
        <v>1194</v>
      </c>
      <c r="H152" s="385" t="s">
        <v>747</v>
      </c>
      <c r="I152" s="39" t="s">
        <v>1267</v>
      </c>
      <c r="J152" s="38" t="s">
        <v>791</v>
      </c>
      <c r="K152" s="41" t="s">
        <v>750</v>
      </c>
      <c r="L152" s="38" t="s">
        <v>751</v>
      </c>
      <c r="M152" s="40" t="s">
        <v>752</v>
      </c>
      <c r="N152" s="41">
        <v>5000</v>
      </c>
      <c r="O152" s="370" t="str">
        <f t="shared" si="77"/>
        <v>Alta</v>
      </c>
      <c r="P152" s="355">
        <f>+VLOOKUP(O152,Probabilidad!$B$5:$C$9,2,FALSE)</f>
        <v>0.8</v>
      </c>
      <c r="Q152" s="28" t="s">
        <v>1076</v>
      </c>
      <c r="R152" s="371" t="str">
        <f>+VLOOKUP(Q152,Impacto!$B$5:$D$9,2,FALSE)</f>
        <v>Catastrófico</v>
      </c>
      <c r="S152" s="355">
        <f>+VLOOKUP(Q152,Impacto!$B$5:$D$9,3,FALSE)</f>
        <v>1</v>
      </c>
      <c r="T152" s="355">
        <f t="shared" si="78"/>
        <v>0.8</v>
      </c>
      <c r="U152" s="340" t="str">
        <f t="shared" si="82"/>
        <v>Extremo</v>
      </c>
      <c r="V152" s="40">
        <v>1</v>
      </c>
      <c r="W152" s="38" t="s">
        <v>1506</v>
      </c>
      <c r="X152" s="35" t="str">
        <f t="shared" si="75"/>
        <v>Probabilidad</v>
      </c>
      <c r="Y152" s="42" t="s">
        <v>755</v>
      </c>
      <c r="Z152" s="42" t="s">
        <v>756</v>
      </c>
      <c r="AA152" s="43" t="str">
        <f t="shared" si="76"/>
        <v>40%</v>
      </c>
      <c r="AB152" s="42" t="s">
        <v>738</v>
      </c>
      <c r="AC152" s="42" t="s">
        <v>757</v>
      </c>
      <c r="AD152" s="42" t="s">
        <v>758</v>
      </c>
      <c r="AE152" s="38" t="s">
        <v>1507</v>
      </c>
      <c r="AF152" s="355">
        <f t="shared" si="89"/>
        <v>0.48</v>
      </c>
      <c r="AG152" s="37" t="str">
        <f t="shared" si="87"/>
        <v>Media</v>
      </c>
      <c r="AH152" s="355">
        <f t="shared" si="90"/>
        <v>1</v>
      </c>
      <c r="AI152" s="37" t="str">
        <f t="shared" si="88"/>
        <v>Catastrófico</v>
      </c>
      <c r="AJ152" s="36">
        <f t="shared" si="86"/>
        <v>0.48</v>
      </c>
      <c r="AK152" s="340" t="str">
        <f t="shared" si="83"/>
        <v>Alto</v>
      </c>
      <c r="AL152" s="365" t="str">
        <f t="shared" si="60"/>
        <v>Alto</v>
      </c>
      <c r="AM152" s="26" t="s">
        <v>759</v>
      </c>
      <c r="AN152" s="354"/>
      <c r="AO152" s="354"/>
      <c r="AP152" s="354"/>
      <c r="AQ152" s="354"/>
      <c r="AR152" s="354"/>
      <c r="AS152" s="354"/>
    </row>
    <row r="153" spans="2:45" ht="76.5" x14ac:dyDescent="0.25">
      <c r="B153" s="28" t="s">
        <v>1184</v>
      </c>
      <c r="C153" s="28" t="s">
        <v>1185</v>
      </c>
      <c r="D153" s="38" t="s">
        <v>1195</v>
      </c>
      <c r="E153" s="38" t="s">
        <v>1196</v>
      </c>
      <c r="F153" s="38" t="s">
        <v>1413</v>
      </c>
      <c r="G153" s="39" t="s">
        <v>1197</v>
      </c>
      <c r="H153" s="385" t="s">
        <v>747</v>
      </c>
      <c r="I153" s="39" t="s">
        <v>1267</v>
      </c>
      <c r="J153" s="38" t="s">
        <v>791</v>
      </c>
      <c r="K153" s="41" t="s">
        <v>750</v>
      </c>
      <c r="L153" s="38" t="s">
        <v>751</v>
      </c>
      <c r="M153" s="40" t="s">
        <v>752</v>
      </c>
      <c r="N153" s="41">
        <v>24</v>
      </c>
      <c r="O153" s="370" t="str">
        <f t="shared" si="77"/>
        <v>Baja</v>
      </c>
      <c r="P153" s="355">
        <f>+VLOOKUP(O153,Probabilidad!$B$5:$C$9,2,FALSE)</f>
        <v>0.4</v>
      </c>
      <c r="Q153" s="28" t="s">
        <v>753</v>
      </c>
      <c r="R153" s="371" t="str">
        <f>+VLOOKUP(Q153,Impacto!$B$5:$D$9,2,FALSE)</f>
        <v>Mayor</v>
      </c>
      <c r="S153" s="355">
        <f>+VLOOKUP(Q153,Impacto!$B$5:$D$9,3,FALSE)</f>
        <v>0.8</v>
      </c>
      <c r="T153" s="355">
        <f t="shared" si="78"/>
        <v>0.32000000000000006</v>
      </c>
      <c r="U153" s="340" t="str">
        <f t="shared" si="82"/>
        <v>Moderado</v>
      </c>
      <c r="V153" s="40">
        <v>1</v>
      </c>
      <c r="W153" s="38" t="s">
        <v>1508</v>
      </c>
      <c r="X153" s="35" t="str">
        <f t="shared" si="75"/>
        <v>Probabilidad</v>
      </c>
      <c r="Y153" s="42" t="s">
        <v>755</v>
      </c>
      <c r="Z153" s="42" t="s">
        <v>756</v>
      </c>
      <c r="AA153" s="43" t="str">
        <f t="shared" si="76"/>
        <v>40%</v>
      </c>
      <c r="AB153" s="42" t="s">
        <v>738</v>
      </c>
      <c r="AC153" s="42" t="s">
        <v>757</v>
      </c>
      <c r="AD153" s="42" t="s">
        <v>758</v>
      </c>
      <c r="AE153" s="38" t="s">
        <v>1509</v>
      </c>
      <c r="AF153" s="355">
        <f t="shared" si="89"/>
        <v>0.24</v>
      </c>
      <c r="AG153" s="37" t="str">
        <f t="shared" si="87"/>
        <v>Baja</v>
      </c>
      <c r="AH153" s="355">
        <f t="shared" si="90"/>
        <v>0.8</v>
      </c>
      <c r="AI153" s="37" t="str">
        <f t="shared" si="88"/>
        <v>Mayor</v>
      </c>
      <c r="AJ153" s="36">
        <f t="shared" si="86"/>
        <v>0.192</v>
      </c>
      <c r="AK153" s="340" t="str">
        <f t="shared" si="83"/>
        <v>Moderado</v>
      </c>
      <c r="AL153" s="365" t="str">
        <f t="shared" si="60"/>
        <v>Moderado</v>
      </c>
      <c r="AM153" s="26" t="s">
        <v>759</v>
      </c>
      <c r="AN153" s="354"/>
      <c r="AO153" s="354"/>
      <c r="AP153" s="354"/>
      <c r="AQ153" s="354"/>
      <c r="AR153" s="354"/>
      <c r="AS153" s="354"/>
    </row>
    <row r="154" spans="2:45" ht="87.75" customHeight="1" x14ac:dyDescent="0.25">
      <c r="B154" s="554" t="s">
        <v>1184</v>
      </c>
      <c r="C154" s="554" t="s">
        <v>1198</v>
      </c>
      <c r="D154" s="579" t="s">
        <v>1199</v>
      </c>
      <c r="E154" s="579" t="s">
        <v>1200</v>
      </c>
      <c r="F154" s="579" t="s">
        <v>1414</v>
      </c>
      <c r="G154" s="586" t="s">
        <v>1201</v>
      </c>
      <c r="H154" s="586" t="s">
        <v>747</v>
      </c>
      <c r="I154" s="586" t="s">
        <v>1048</v>
      </c>
      <c r="J154" s="579" t="s">
        <v>791</v>
      </c>
      <c r="K154" s="583" t="s">
        <v>750</v>
      </c>
      <c r="L154" s="579" t="s">
        <v>751</v>
      </c>
      <c r="M154" s="581" t="s">
        <v>752</v>
      </c>
      <c r="N154" s="583">
        <v>140</v>
      </c>
      <c r="O154" s="573" t="str">
        <f t="shared" si="77"/>
        <v>Media</v>
      </c>
      <c r="P154" s="570">
        <f>+VLOOKUP(O154,Probabilidad!$B$5:$C$9,2,FALSE)</f>
        <v>0.6</v>
      </c>
      <c r="Q154" s="554" t="s">
        <v>1076</v>
      </c>
      <c r="R154" s="573" t="str">
        <f>+VLOOKUP(Q154,Impacto!$B$5:$D$9,2,FALSE)</f>
        <v>Catastrófico</v>
      </c>
      <c r="S154" s="570">
        <f>+VLOOKUP(Q154,Impacto!$B$5:$D$9,3,FALSE)</f>
        <v>1</v>
      </c>
      <c r="T154" s="570">
        <f t="shared" si="78"/>
        <v>0.6</v>
      </c>
      <c r="U154" s="567" t="str">
        <f t="shared" si="82"/>
        <v>Alto</v>
      </c>
      <c r="V154" s="40">
        <v>1</v>
      </c>
      <c r="W154" s="39" t="s">
        <v>1510</v>
      </c>
      <c r="X154" s="35" t="str">
        <f t="shared" si="75"/>
        <v>Probabilidad</v>
      </c>
      <c r="Y154" s="42" t="s">
        <v>755</v>
      </c>
      <c r="Z154" s="42" t="s">
        <v>756</v>
      </c>
      <c r="AA154" s="43" t="str">
        <f t="shared" si="76"/>
        <v>40%</v>
      </c>
      <c r="AB154" s="42" t="s">
        <v>738</v>
      </c>
      <c r="AC154" s="42" t="s">
        <v>757</v>
      </c>
      <c r="AD154" s="42" t="s">
        <v>758</v>
      </c>
      <c r="AE154" s="38" t="s">
        <v>1512</v>
      </c>
      <c r="AF154" s="355">
        <f t="shared" si="89"/>
        <v>0.36</v>
      </c>
      <c r="AG154" s="37" t="str">
        <f t="shared" si="87"/>
        <v>Baja</v>
      </c>
      <c r="AH154" s="355">
        <f t="shared" si="90"/>
        <v>1</v>
      </c>
      <c r="AI154" s="37" t="str">
        <f t="shared" si="88"/>
        <v>Catastrófico</v>
      </c>
      <c r="AJ154" s="36">
        <f t="shared" si="86"/>
        <v>0.36</v>
      </c>
      <c r="AK154" s="340" t="str">
        <f t="shared" si="83"/>
        <v>Moderado</v>
      </c>
      <c r="AL154" s="614" t="str">
        <f>+AK155</f>
        <v>Moderado</v>
      </c>
      <c r="AM154" s="563" t="s">
        <v>759</v>
      </c>
      <c r="AN154" s="354"/>
      <c r="AO154" s="354"/>
      <c r="AP154" s="354"/>
      <c r="AQ154" s="354"/>
      <c r="AR154" s="354"/>
      <c r="AS154" s="354"/>
    </row>
    <row r="155" spans="2:45" ht="69.75" customHeight="1" x14ac:dyDescent="0.25">
      <c r="B155" s="555"/>
      <c r="C155" s="555"/>
      <c r="D155" s="580"/>
      <c r="E155" s="580"/>
      <c r="F155" s="580"/>
      <c r="G155" s="588"/>
      <c r="H155" s="588"/>
      <c r="I155" s="588"/>
      <c r="J155" s="580"/>
      <c r="K155" s="584"/>
      <c r="L155" s="580"/>
      <c r="M155" s="582"/>
      <c r="N155" s="584"/>
      <c r="O155" s="575"/>
      <c r="P155" s="572"/>
      <c r="Q155" s="555"/>
      <c r="R155" s="575" t="e">
        <f>+VLOOKUP(Q155,Impacto!$B$5:$D$9,2,FALSE)</f>
        <v>#N/A</v>
      </c>
      <c r="S155" s="572" t="e">
        <f>+VLOOKUP(Q155,Impacto!$B$5:$D$9,3,FALSE)</f>
        <v>#N/A</v>
      </c>
      <c r="T155" s="572"/>
      <c r="U155" s="569" t="str">
        <f t="shared" si="82"/>
        <v>Bajo</v>
      </c>
      <c r="V155" s="40">
        <v>2</v>
      </c>
      <c r="W155" s="39" t="s">
        <v>1511</v>
      </c>
      <c r="X155" s="35" t="str">
        <f t="shared" si="75"/>
        <v>Probabilidad</v>
      </c>
      <c r="Y155" s="42" t="s">
        <v>755</v>
      </c>
      <c r="Z155" s="42" t="s">
        <v>756</v>
      </c>
      <c r="AA155" s="43" t="str">
        <f t="shared" si="76"/>
        <v>40%</v>
      </c>
      <c r="AB155" s="42" t="s">
        <v>738</v>
      </c>
      <c r="AC155" s="42" t="s">
        <v>757</v>
      </c>
      <c r="AD155" s="42" t="s">
        <v>758</v>
      </c>
      <c r="AE155" s="38" t="s">
        <v>1513</v>
      </c>
      <c r="AF155" s="27">
        <f>IFERROR(IF(AND(X154="Probabilidad",X155="Probabilidad"),(AF154-(+AF154*AA155)),IF(X155="Probabilidad",(P154-(P154*AA155)),IF(X155="Impacto",P154,""))),"")</f>
        <v>0.216</v>
      </c>
      <c r="AG155" s="37" t="str">
        <f>IFERROR(IF(AF155="","",IF(AF155&lt;=0.2,"Muy Baja",IF(AF155&lt;=0.4,"Baja",IF(AF155&lt;=0.6,"Media",IF(AF155&lt;=0.8,"Alta","Muy Alta"))))),"")</f>
        <v>Baja</v>
      </c>
      <c r="AH155" s="27">
        <f>IFERROR(IF(AND(X154="Impacto",X155="Impacto"),(AH154-(+AH154*AA155)),IF(X155="Impacto",(S154-(+S154*AA155)),IF(X155="Probabilidad",AH154,""))),"")</f>
        <v>1</v>
      </c>
      <c r="AI155" s="37" t="str">
        <f>IFERROR(IF(AH155="","",IF(AH155&lt;=0.2,"Leve",IF(AH155&lt;=0.4,"Menor",IF(AH155&lt;=0.6,"Moderado",IF(AH155&lt;=0.8,"Mayor","Catastrófico"))))),"")</f>
        <v>Catastrófico</v>
      </c>
      <c r="AJ155" s="36">
        <f t="shared" si="86"/>
        <v>0.216</v>
      </c>
      <c r="AK155" s="340" t="str">
        <f t="shared" si="83"/>
        <v>Moderado</v>
      </c>
      <c r="AL155" s="616"/>
      <c r="AM155" s="564"/>
      <c r="AN155" s="354"/>
      <c r="AO155" s="354"/>
      <c r="AP155" s="354"/>
      <c r="AQ155" s="354"/>
      <c r="AR155" s="354"/>
      <c r="AS155" s="354"/>
    </row>
    <row r="156" spans="2:45" ht="76.5" x14ac:dyDescent="0.25">
      <c r="B156" s="28" t="s">
        <v>1184</v>
      </c>
      <c r="C156" s="28" t="s">
        <v>1198</v>
      </c>
      <c r="D156" s="38" t="s">
        <v>1202</v>
      </c>
      <c r="E156" s="38" t="s">
        <v>1603</v>
      </c>
      <c r="F156" s="38" t="s">
        <v>1414</v>
      </c>
      <c r="G156" s="39" t="s">
        <v>1201</v>
      </c>
      <c r="H156" s="385" t="s">
        <v>747</v>
      </c>
      <c r="I156" s="39" t="s">
        <v>1048</v>
      </c>
      <c r="J156" s="38" t="s">
        <v>791</v>
      </c>
      <c r="K156" s="41" t="s">
        <v>750</v>
      </c>
      <c r="L156" s="38" t="s">
        <v>751</v>
      </c>
      <c r="M156" s="40" t="s">
        <v>752</v>
      </c>
      <c r="N156" s="41">
        <v>200000</v>
      </c>
      <c r="O156" s="370" t="str">
        <f t="shared" si="77"/>
        <v>Muy Alta</v>
      </c>
      <c r="P156" s="355">
        <f>+VLOOKUP(O156,Probabilidad!$B$5:$C$9,2,FALSE)</f>
        <v>1</v>
      </c>
      <c r="Q156" s="28" t="s">
        <v>1076</v>
      </c>
      <c r="R156" s="371" t="str">
        <f>+VLOOKUP(Q156,Impacto!$B$5:$D$9,2,FALSE)</f>
        <v>Catastrófico</v>
      </c>
      <c r="S156" s="355">
        <f>+VLOOKUP(Q156,Impacto!$B$5:$D$9,3,FALSE)</f>
        <v>1</v>
      </c>
      <c r="T156" s="355">
        <f t="shared" si="78"/>
        <v>1</v>
      </c>
      <c r="U156" s="340" t="str">
        <f t="shared" si="82"/>
        <v>Extremo</v>
      </c>
      <c r="V156" s="40">
        <v>1</v>
      </c>
      <c r="W156" s="39" t="s">
        <v>1515</v>
      </c>
      <c r="X156" s="35" t="str">
        <f t="shared" si="75"/>
        <v>Probabilidad</v>
      </c>
      <c r="Y156" s="42" t="s">
        <v>755</v>
      </c>
      <c r="Z156" s="42" t="s">
        <v>756</v>
      </c>
      <c r="AA156" s="43" t="str">
        <f t="shared" si="76"/>
        <v>40%</v>
      </c>
      <c r="AB156" s="42" t="s">
        <v>738</v>
      </c>
      <c r="AC156" s="42" t="s">
        <v>757</v>
      </c>
      <c r="AD156" s="42" t="s">
        <v>758</v>
      </c>
      <c r="AE156" s="38" t="s">
        <v>1514</v>
      </c>
      <c r="AF156" s="355">
        <f t="shared" ref="AF156:AF161" si="91">IFERROR(IF(X156="Probabilidad",(P156-(P156*AA156)),IF(X156="Impacto",P156,"")),"")</f>
        <v>0.6</v>
      </c>
      <c r="AG156" s="37" t="str">
        <f t="shared" si="87"/>
        <v>Media</v>
      </c>
      <c r="AH156" s="355">
        <f t="shared" ref="AH156:AH161" si="92">IFERROR(IF(X156="Impacto",(S156-(S156*AA156)),IF(X156="Probabilidad",S156,"")),"")</f>
        <v>1</v>
      </c>
      <c r="AI156" s="37" t="str">
        <f t="shared" si="88"/>
        <v>Catastrófico</v>
      </c>
      <c r="AJ156" s="36">
        <f t="shared" ref="AJ156:AJ161" si="93">+AF156*AH156</f>
        <v>0.6</v>
      </c>
      <c r="AK156" s="340" t="str">
        <f t="shared" si="83"/>
        <v>Alto</v>
      </c>
      <c r="AL156" s="365" t="str">
        <f t="shared" si="60"/>
        <v>Alto</v>
      </c>
      <c r="AM156" s="26" t="s">
        <v>759</v>
      </c>
      <c r="AN156" s="354"/>
      <c r="AO156" s="354"/>
      <c r="AP156" s="354"/>
      <c r="AQ156" s="354"/>
      <c r="AR156" s="354"/>
      <c r="AS156" s="354"/>
    </row>
    <row r="157" spans="2:45" ht="102" x14ac:dyDescent="0.25">
      <c r="B157" s="28" t="s">
        <v>1184</v>
      </c>
      <c r="C157" s="28" t="s">
        <v>1198</v>
      </c>
      <c r="D157" s="38" t="s">
        <v>1203</v>
      </c>
      <c r="E157" s="38" t="s">
        <v>1204</v>
      </c>
      <c r="F157" s="38" t="s">
        <v>1415</v>
      </c>
      <c r="G157" s="39" t="s">
        <v>1201</v>
      </c>
      <c r="H157" s="385" t="s">
        <v>747</v>
      </c>
      <c r="I157" s="39" t="s">
        <v>1048</v>
      </c>
      <c r="J157" s="38" t="s">
        <v>791</v>
      </c>
      <c r="K157" s="41" t="s">
        <v>750</v>
      </c>
      <c r="L157" s="38" t="s">
        <v>751</v>
      </c>
      <c r="M157" s="40" t="s">
        <v>752</v>
      </c>
      <c r="N157" s="41">
        <f>10*365</f>
        <v>3650</v>
      </c>
      <c r="O157" s="370" t="str">
        <f t="shared" si="77"/>
        <v>Alta</v>
      </c>
      <c r="P157" s="355">
        <f>+VLOOKUP(O157,Probabilidad!$B$5:$C$9,2,FALSE)</f>
        <v>0.8</v>
      </c>
      <c r="Q157" s="28" t="s">
        <v>1076</v>
      </c>
      <c r="R157" s="371" t="str">
        <f>+VLOOKUP(Q157,Impacto!$B$5:$D$9,2,FALSE)</f>
        <v>Catastrófico</v>
      </c>
      <c r="S157" s="355">
        <f>+VLOOKUP(Q157,Impacto!$B$5:$D$9,3,FALSE)</f>
        <v>1</v>
      </c>
      <c r="T157" s="355">
        <f t="shared" si="78"/>
        <v>0.8</v>
      </c>
      <c r="U157" s="340" t="str">
        <f t="shared" si="82"/>
        <v>Extremo</v>
      </c>
      <c r="V157" s="40">
        <v>1</v>
      </c>
      <c r="W157" s="38" t="s">
        <v>1492</v>
      </c>
      <c r="X157" s="35" t="str">
        <f t="shared" si="75"/>
        <v>Probabilidad</v>
      </c>
      <c r="Y157" s="42" t="s">
        <v>755</v>
      </c>
      <c r="Z157" s="42" t="s">
        <v>756</v>
      </c>
      <c r="AA157" s="43" t="str">
        <f t="shared" si="76"/>
        <v>40%</v>
      </c>
      <c r="AB157" s="42" t="s">
        <v>738</v>
      </c>
      <c r="AC157" s="42" t="s">
        <v>757</v>
      </c>
      <c r="AD157" s="42" t="s">
        <v>758</v>
      </c>
      <c r="AE157" s="38" t="s">
        <v>1493</v>
      </c>
      <c r="AF157" s="355">
        <f t="shared" si="91"/>
        <v>0.48</v>
      </c>
      <c r="AG157" s="37" t="str">
        <f t="shared" si="87"/>
        <v>Media</v>
      </c>
      <c r="AH157" s="355">
        <f t="shared" si="92"/>
        <v>1</v>
      </c>
      <c r="AI157" s="37" t="str">
        <f t="shared" si="88"/>
        <v>Catastrófico</v>
      </c>
      <c r="AJ157" s="36">
        <f t="shared" si="93"/>
        <v>0.48</v>
      </c>
      <c r="AK157" s="340" t="str">
        <f t="shared" si="83"/>
        <v>Alto</v>
      </c>
      <c r="AL157" s="365" t="str">
        <f t="shared" ref="AL157:AL168" si="94">+AK157</f>
        <v>Alto</v>
      </c>
      <c r="AM157" s="26" t="s">
        <v>759</v>
      </c>
      <c r="AN157" s="354"/>
      <c r="AO157" s="354"/>
      <c r="AP157" s="354"/>
      <c r="AQ157" s="354"/>
      <c r="AR157" s="354"/>
      <c r="AS157" s="354"/>
    </row>
    <row r="158" spans="2:45" ht="76.5" x14ac:dyDescent="0.25">
      <c r="B158" s="28" t="s">
        <v>1184</v>
      </c>
      <c r="C158" s="28" t="s">
        <v>1198</v>
      </c>
      <c r="D158" s="38" t="s">
        <v>1205</v>
      </c>
      <c r="E158" s="38" t="s">
        <v>1583</v>
      </c>
      <c r="F158" s="38" t="s">
        <v>1416</v>
      </c>
      <c r="G158" s="39" t="s">
        <v>1206</v>
      </c>
      <c r="H158" s="385" t="s">
        <v>747</v>
      </c>
      <c r="I158" s="39" t="s">
        <v>748</v>
      </c>
      <c r="J158" s="38" t="s">
        <v>749</v>
      </c>
      <c r="K158" s="41" t="s">
        <v>750</v>
      </c>
      <c r="L158" s="38" t="s">
        <v>1158</v>
      </c>
      <c r="M158" s="40" t="s">
        <v>752</v>
      </c>
      <c r="N158" s="41">
        <f>365*4</f>
        <v>1460</v>
      </c>
      <c r="O158" s="370" t="str">
        <f t="shared" si="77"/>
        <v>Alta</v>
      </c>
      <c r="P158" s="355">
        <f>+VLOOKUP(O158,Probabilidad!$B$5:$C$9,2,FALSE)</f>
        <v>0.8</v>
      </c>
      <c r="Q158" s="28" t="s">
        <v>753</v>
      </c>
      <c r="R158" s="371" t="str">
        <f>+VLOOKUP(Q158,Impacto!$B$5:$D$9,2,FALSE)</f>
        <v>Mayor</v>
      </c>
      <c r="S158" s="355">
        <f>+VLOOKUP(Q158,Impacto!$B$5:$D$9,3,FALSE)</f>
        <v>0.8</v>
      </c>
      <c r="T158" s="355">
        <f t="shared" si="78"/>
        <v>0.64000000000000012</v>
      </c>
      <c r="U158" s="340" t="str">
        <f t="shared" si="82"/>
        <v>Alto</v>
      </c>
      <c r="V158" s="40">
        <v>1</v>
      </c>
      <c r="W158" s="38" t="s">
        <v>1516</v>
      </c>
      <c r="X158" s="35" t="str">
        <f t="shared" si="75"/>
        <v>Probabilidad</v>
      </c>
      <c r="Y158" s="42" t="s">
        <v>755</v>
      </c>
      <c r="Z158" s="42" t="s">
        <v>756</v>
      </c>
      <c r="AA158" s="43" t="str">
        <f t="shared" si="76"/>
        <v>40%</v>
      </c>
      <c r="AB158" s="42" t="s">
        <v>738</v>
      </c>
      <c r="AC158" s="42" t="s">
        <v>757</v>
      </c>
      <c r="AD158" s="42" t="s">
        <v>758</v>
      </c>
      <c r="AE158" s="734" t="s">
        <v>1723</v>
      </c>
      <c r="AF158" s="355">
        <f t="shared" si="91"/>
        <v>0.48</v>
      </c>
      <c r="AG158" s="37" t="str">
        <f t="shared" si="87"/>
        <v>Media</v>
      </c>
      <c r="AH158" s="355">
        <f t="shared" si="92"/>
        <v>0.8</v>
      </c>
      <c r="AI158" s="37" t="str">
        <f t="shared" si="88"/>
        <v>Mayor</v>
      </c>
      <c r="AJ158" s="36">
        <f t="shared" si="93"/>
        <v>0.38400000000000001</v>
      </c>
      <c r="AK158" s="340" t="str">
        <f t="shared" si="83"/>
        <v>Moderado</v>
      </c>
      <c r="AL158" s="365" t="str">
        <f t="shared" si="94"/>
        <v>Moderado</v>
      </c>
      <c r="AM158" s="26" t="s">
        <v>759</v>
      </c>
      <c r="AN158" s="354"/>
      <c r="AO158" s="354"/>
      <c r="AP158" s="354"/>
      <c r="AQ158" s="354"/>
      <c r="AR158" s="354"/>
      <c r="AS158" s="354"/>
    </row>
    <row r="159" spans="2:45" ht="63.75" x14ac:dyDescent="0.25">
      <c r="B159" s="28" t="s">
        <v>1184</v>
      </c>
      <c r="C159" s="28" t="s">
        <v>1198</v>
      </c>
      <c r="D159" s="38" t="s">
        <v>1207</v>
      </c>
      <c r="E159" s="38" t="s">
        <v>1208</v>
      </c>
      <c r="F159" s="38" t="s">
        <v>1417</v>
      </c>
      <c r="G159" s="39" t="s">
        <v>1209</v>
      </c>
      <c r="H159" s="385" t="s">
        <v>747</v>
      </c>
      <c r="I159" s="39" t="s">
        <v>1267</v>
      </c>
      <c r="J159" s="38" t="s">
        <v>791</v>
      </c>
      <c r="K159" s="41" t="s">
        <v>750</v>
      </c>
      <c r="L159" s="38" t="s">
        <v>751</v>
      </c>
      <c r="M159" s="40" t="s">
        <v>752</v>
      </c>
      <c r="N159" s="41">
        <v>2</v>
      </c>
      <c r="O159" s="370" t="str">
        <f t="shared" si="77"/>
        <v>Muy Baja</v>
      </c>
      <c r="P159" s="355">
        <f>+VLOOKUP(O159,Probabilidad!$B$5:$C$9,2,FALSE)</f>
        <v>0.2</v>
      </c>
      <c r="Q159" s="28" t="s">
        <v>1076</v>
      </c>
      <c r="R159" s="371" t="str">
        <f>+VLOOKUP(Q159,Impacto!$B$5:$D$9,2,FALSE)</f>
        <v>Catastrófico</v>
      </c>
      <c r="S159" s="355">
        <f>+VLOOKUP(Q159,Impacto!$B$5:$D$9,3,FALSE)</f>
        <v>1</v>
      </c>
      <c r="T159" s="355">
        <f t="shared" si="78"/>
        <v>0.2</v>
      </c>
      <c r="U159" s="340" t="str">
        <f t="shared" si="82"/>
        <v>Moderado</v>
      </c>
      <c r="V159" s="40">
        <v>1</v>
      </c>
      <c r="W159" s="38" t="s">
        <v>1494</v>
      </c>
      <c r="X159" s="35" t="str">
        <f t="shared" si="75"/>
        <v>Probabilidad</v>
      </c>
      <c r="Y159" s="42" t="s">
        <v>755</v>
      </c>
      <c r="Z159" s="42" t="s">
        <v>756</v>
      </c>
      <c r="AA159" s="43" t="str">
        <f t="shared" si="76"/>
        <v>40%</v>
      </c>
      <c r="AB159" s="42" t="s">
        <v>738</v>
      </c>
      <c r="AC159" s="42" t="s">
        <v>757</v>
      </c>
      <c r="AD159" s="42" t="s">
        <v>758</v>
      </c>
      <c r="AE159" s="342" t="s">
        <v>1495</v>
      </c>
      <c r="AF159" s="355">
        <f t="shared" si="91"/>
        <v>0.12</v>
      </c>
      <c r="AG159" s="37" t="str">
        <f t="shared" si="87"/>
        <v>Muy Baja</v>
      </c>
      <c r="AH159" s="355">
        <f t="shared" si="92"/>
        <v>1</v>
      </c>
      <c r="AI159" s="37" t="str">
        <f t="shared" si="88"/>
        <v>Catastrófico</v>
      </c>
      <c r="AJ159" s="36">
        <f t="shared" si="93"/>
        <v>0.12</v>
      </c>
      <c r="AK159" s="340" t="str">
        <f t="shared" si="83"/>
        <v>Moderado</v>
      </c>
      <c r="AL159" s="365" t="str">
        <f t="shared" si="94"/>
        <v>Moderado</v>
      </c>
      <c r="AM159" s="26" t="s">
        <v>759</v>
      </c>
      <c r="AN159" s="354"/>
      <c r="AO159" s="354"/>
      <c r="AP159" s="354"/>
      <c r="AQ159" s="354"/>
      <c r="AR159" s="354"/>
      <c r="AS159" s="354"/>
    </row>
    <row r="160" spans="2:45" ht="63.75" x14ac:dyDescent="0.25">
      <c r="B160" s="28" t="s">
        <v>1184</v>
      </c>
      <c r="C160" s="28" t="s">
        <v>1198</v>
      </c>
      <c r="D160" s="38" t="s">
        <v>1210</v>
      </c>
      <c r="E160" s="39" t="s">
        <v>1584</v>
      </c>
      <c r="F160" s="39" t="s">
        <v>1418</v>
      </c>
      <c r="G160" s="39" t="s">
        <v>1211</v>
      </c>
      <c r="H160" s="385" t="s">
        <v>747</v>
      </c>
      <c r="I160" s="39" t="s">
        <v>1267</v>
      </c>
      <c r="J160" s="38" t="s">
        <v>791</v>
      </c>
      <c r="K160" s="41" t="s">
        <v>750</v>
      </c>
      <c r="L160" s="38" t="s">
        <v>785</v>
      </c>
      <c r="M160" s="40" t="s">
        <v>752</v>
      </c>
      <c r="N160" s="40">
        <v>244</v>
      </c>
      <c r="O160" s="370" t="str">
        <f t="shared" si="77"/>
        <v>Media</v>
      </c>
      <c r="P160" s="355">
        <f>+VLOOKUP(O160,Probabilidad!$B$5:$C$9,2,FALSE)</f>
        <v>0.6</v>
      </c>
      <c r="Q160" s="28" t="s">
        <v>1076</v>
      </c>
      <c r="R160" s="371" t="str">
        <f>+VLOOKUP(Q160,Impacto!$B$5:$D$9,2,FALSE)</f>
        <v>Catastrófico</v>
      </c>
      <c r="S160" s="355">
        <f>+VLOOKUP(Q160,Impacto!$B$5:$D$9,3,FALSE)</f>
        <v>1</v>
      </c>
      <c r="T160" s="355">
        <f t="shared" si="78"/>
        <v>0.6</v>
      </c>
      <c r="U160" s="340" t="str">
        <f t="shared" si="82"/>
        <v>Alto</v>
      </c>
      <c r="V160" s="40">
        <v>1</v>
      </c>
      <c r="W160" s="38" t="s">
        <v>1517</v>
      </c>
      <c r="X160" s="35" t="str">
        <f t="shared" si="75"/>
        <v>Probabilidad</v>
      </c>
      <c r="Y160" s="42" t="s">
        <v>755</v>
      </c>
      <c r="Z160" s="42" t="s">
        <v>756</v>
      </c>
      <c r="AA160" s="43" t="str">
        <f t="shared" si="76"/>
        <v>40%</v>
      </c>
      <c r="AB160" s="42" t="s">
        <v>738</v>
      </c>
      <c r="AC160" s="42" t="s">
        <v>757</v>
      </c>
      <c r="AD160" s="42" t="s">
        <v>758</v>
      </c>
      <c r="AE160" s="38" t="s">
        <v>1518</v>
      </c>
      <c r="AF160" s="355">
        <f t="shared" si="91"/>
        <v>0.36</v>
      </c>
      <c r="AG160" s="37" t="str">
        <f t="shared" si="87"/>
        <v>Baja</v>
      </c>
      <c r="AH160" s="355">
        <f t="shared" si="92"/>
        <v>1</v>
      </c>
      <c r="AI160" s="37" t="str">
        <f t="shared" si="88"/>
        <v>Catastrófico</v>
      </c>
      <c r="AJ160" s="36">
        <f t="shared" si="93"/>
        <v>0.36</v>
      </c>
      <c r="AK160" s="340" t="str">
        <f t="shared" si="83"/>
        <v>Moderado</v>
      </c>
      <c r="AL160" s="365" t="str">
        <f t="shared" si="94"/>
        <v>Moderado</v>
      </c>
      <c r="AM160" s="26" t="s">
        <v>759</v>
      </c>
      <c r="AN160" s="354"/>
      <c r="AO160" s="354"/>
      <c r="AP160" s="354"/>
      <c r="AQ160" s="354"/>
      <c r="AR160" s="354"/>
      <c r="AS160" s="354"/>
    </row>
    <row r="161" spans="2:46" ht="96" customHeight="1" x14ac:dyDescent="0.25">
      <c r="B161" s="554" t="s">
        <v>1184</v>
      </c>
      <c r="C161" s="554" t="s">
        <v>1212</v>
      </c>
      <c r="D161" s="579" t="s">
        <v>1213</v>
      </c>
      <c r="E161" s="579" t="s">
        <v>1214</v>
      </c>
      <c r="F161" s="579" t="s">
        <v>1215</v>
      </c>
      <c r="G161" s="586" t="s">
        <v>1216</v>
      </c>
      <c r="H161" s="586" t="s">
        <v>747</v>
      </c>
      <c r="I161" s="586" t="s">
        <v>1267</v>
      </c>
      <c r="J161" s="579" t="s">
        <v>791</v>
      </c>
      <c r="K161" s="583" t="s">
        <v>750</v>
      </c>
      <c r="L161" s="579" t="s">
        <v>751</v>
      </c>
      <c r="M161" s="581" t="s">
        <v>752</v>
      </c>
      <c r="N161" s="583">
        <f>365*18</f>
        <v>6570</v>
      </c>
      <c r="O161" s="573" t="str">
        <f t="shared" si="77"/>
        <v>Muy Alta</v>
      </c>
      <c r="P161" s="570">
        <f>+VLOOKUP(O161,Probabilidad!$B$5:$C$9,2,FALSE)</f>
        <v>1</v>
      </c>
      <c r="Q161" s="554" t="s">
        <v>1076</v>
      </c>
      <c r="R161" s="573" t="str">
        <f>+VLOOKUP(Q161,Impacto!$B$5:$D$9,2,FALSE)</f>
        <v>Catastrófico</v>
      </c>
      <c r="S161" s="570">
        <f>+VLOOKUP(Q161,Impacto!$B$5:$D$9,3,FALSE)</f>
        <v>1</v>
      </c>
      <c r="T161" s="570">
        <f t="shared" si="78"/>
        <v>1</v>
      </c>
      <c r="U161" s="567" t="str">
        <f t="shared" si="82"/>
        <v>Extremo</v>
      </c>
      <c r="V161" s="40">
        <v>1</v>
      </c>
      <c r="W161" s="38" t="s">
        <v>1519</v>
      </c>
      <c r="X161" s="35" t="str">
        <f t="shared" si="75"/>
        <v>Probabilidad</v>
      </c>
      <c r="Y161" s="42" t="s">
        <v>755</v>
      </c>
      <c r="Z161" s="42" t="s">
        <v>756</v>
      </c>
      <c r="AA161" s="43" t="str">
        <f t="shared" si="76"/>
        <v>40%</v>
      </c>
      <c r="AB161" s="42" t="s">
        <v>738</v>
      </c>
      <c r="AC161" s="42" t="s">
        <v>757</v>
      </c>
      <c r="AD161" s="42" t="s">
        <v>758</v>
      </c>
      <c r="AE161" s="38" t="s">
        <v>1522</v>
      </c>
      <c r="AF161" s="355">
        <f t="shared" si="91"/>
        <v>0.6</v>
      </c>
      <c r="AG161" s="37" t="str">
        <f t="shared" si="87"/>
        <v>Media</v>
      </c>
      <c r="AH161" s="355">
        <f t="shared" si="92"/>
        <v>1</v>
      </c>
      <c r="AI161" s="37" t="str">
        <f t="shared" si="88"/>
        <v>Catastrófico</v>
      </c>
      <c r="AJ161" s="36">
        <f t="shared" si="93"/>
        <v>0.6</v>
      </c>
      <c r="AK161" s="340" t="str">
        <f t="shared" si="83"/>
        <v>Alto</v>
      </c>
      <c r="AL161" s="614" t="str">
        <f>+AK163</f>
        <v>Moderado</v>
      </c>
      <c r="AM161" s="563" t="s">
        <v>759</v>
      </c>
      <c r="AN161" s="354"/>
      <c r="AO161" s="354"/>
      <c r="AP161" s="354"/>
      <c r="AQ161" s="354"/>
      <c r="AR161" s="354"/>
      <c r="AS161" s="354"/>
    </row>
    <row r="162" spans="2:46" ht="93" customHeight="1" x14ac:dyDescent="0.25">
      <c r="B162" s="566"/>
      <c r="C162" s="566"/>
      <c r="D162" s="585"/>
      <c r="E162" s="585"/>
      <c r="F162" s="585"/>
      <c r="G162" s="587"/>
      <c r="H162" s="587"/>
      <c r="I162" s="587"/>
      <c r="J162" s="589"/>
      <c r="K162" s="589"/>
      <c r="L162" s="585"/>
      <c r="M162" s="590"/>
      <c r="N162" s="589"/>
      <c r="O162" s="574"/>
      <c r="P162" s="571"/>
      <c r="Q162" s="566"/>
      <c r="R162" s="574" t="e">
        <f>+VLOOKUP(Q162,Impacto!$B$5:$D$9,2,FALSE)</f>
        <v>#N/A</v>
      </c>
      <c r="S162" s="571" t="e">
        <f>+VLOOKUP(Q162,Impacto!$B$5:$D$9,3,FALSE)</f>
        <v>#N/A</v>
      </c>
      <c r="T162" s="571"/>
      <c r="U162" s="568" t="str">
        <f t="shared" si="82"/>
        <v>Bajo</v>
      </c>
      <c r="V162" s="40">
        <v>2</v>
      </c>
      <c r="W162" s="38" t="s">
        <v>1520</v>
      </c>
      <c r="X162" s="35" t="str">
        <f t="shared" si="75"/>
        <v>Probabilidad</v>
      </c>
      <c r="Y162" s="42" t="s">
        <v>755</v>
      </c>
      <c r="Z162" s="42" t="s">
        <v>756</v>
      </c>
      <c r="AA162" s="43" t="str">
        <f t="shared" si="76"/>
        <v>40%</v>
      </c>
      <c r="AB162" s="42" t="s">
        <v>738</v>
      </c>
      <c r="AC162" s="42" t="s">
        <v>757</v>
      </c>
      <c r="AD162" s="42" t="s">
        <v>758</v>
      </c>
      <c r="AE162" s="38" t="s">
        <v>1523</v>
      </c>
      <c r="AF162" s="27">
        <f>IFERROR(IF(AND(X161="Probabilidad",X162="Probabilidad"),(AF161-(+AF161*AA162)),IF(X162="Probabilidad",(P161-(P161*AA162)),IF(X162="Impacto",P161,""))),"")</f>
        <v>0.36</v>
      </c>
      <c r="AG162" s="37" t="str">
        <f>IFERROR(IF(AF162="","",IF(AF162&lt;=0.2,"Muy Baja",IF(AF162&lt;=0.4,"Baja",IF(AF162&lt;=0.6,"Media",IF(AF162&lt;=0.8,"Alta","Muy Alta"))))),"")</f>
        <v>Baja</v>
      </c>
      <c r="AH162" s="27">
        <f>IFERROR(IF(AND(X161="Impacto",X162="Impacto"),(AH161-(+AH161*AA162)),IF(X162="Impacto",(S161-(+S161*AA162)),IF(X162="Probabilidad",AH161,""))),"")</f>
        <v>1</v>
      </c>
      <c r="AI162" s="37" t="str">
        <f>IFERROR(IF(AH162="","",IF(AH162&lt;=0.2,"Leve",IF(AH162&lt;=0.4,"Menor",IF(AH162&lt;=0.6,"Moderado",IF(AH162&lt;=0.8,"Mayor","Catastrófico"))))),"")</f>
        <v>Catastrófico</v>
      </c>
      <c r="AJ162" s="36">
        <f>+AF162*AH162</f>
        <v>0.36</v>
      </c>
      <c r="AK162" s="340" t="str">
        <f t="shared" si="83"/>
        <v>Moderado</v>
      </c>
      <c r="AL162" s="615"/>
      <c r="AM162" s="598"/>
      <c r="AN162" s="354"/>
      <c r="AO162" s="354"/>
      <c r="AP162" s="354"/>
      <c r="AQ162" s="354"/>
      <c r="AR162" s="354"/>
      <c r="AS162" s="354"/>
    </row>
    <row r="163" spans="2:46" ht="63.75" x14ac:dyDescent="0.25">
      <c r="B163" s="555"/>
      <c r="C163" s="555"/>
      <c r="D163" s="580"/>
      <c r="E163" s="580"/>
      <c r="F163" s="580"/>
      <c r="G163" s="588"/>
      <c r="H163" s="588"/>
      <c r="I163" s="588"/>
      <c r="J163" s="584"/>
      <c r="K163" s="584"/>
      <c r="L163" s="580"/>
      <c r="M163" s="582"/>
      <c r="N163" s="584"/>
      <c r="O163" s="575"/>
      <c r="P163" s="572"/>
      <c r="Q163" s="555"/>
      <c r="R163" s="575" t="e">
        <f>+VLOOKUP(Q163,Impacto!$B$5:$D$9,2,FALSE)</f>
        <v>#N/A</v>
      </c>
      <c r="S163" s="572" t="e">
        <f>+VLOOKUP(Q163,Impacto!$B$5:$D$9,3,FALSE)</f>
        <v>#N/A</v>
      </c>
      <c r="T163" s="572"/>
      <c r="U163" s="569" t="str">
        <f t="shared" si="82"/>
        <v>Bajo</v>
      </c>
      <c r="V163" s="40">
        <v>3</v>
      </c>
      <c r="W163" s="38" t="s">
        <v>1521</v>
      </c>
      <c r="X163" s="35" t="str">
        <f t="shared" si="75"/>
        <v>Probabilidad</v>
      </c>
      <c r="Y163" s="42" t="s">
        <v>755</v>
      </c>
      <c r="Z163" s="42" t="s">
        <v>756</v>
      </c>
      <c r="AA163" s="43" t="str">
        <f t="shared" si="76"/>
        <v>40%</v>
      </c>
      <c r="AB163" s="42" t="s">
        <v>738</v>
      </c>
      <c r="AC163" s="42" t="s">
        <v>757</v>
      </c>
      <c r="AD163" s="42" t="s">
        <v>758</v>
      </c>
      <c r="AE163" s="38" t="s">
        <v>1524</v>
      </c>
      <c r="AF163" s="27">
        <f>IFERROR(IF(AND(X162="Probabilidad",X163="Probabilidad"),(AF162-(+AF162*AA163)),IF(X163="Probabilidad",(P161-(P161*AA163)),IF(X163="Impacto",P161,""))),"")</f>
        <v>0.216</v>
      </c>
      <c r="AG163" s="37" t="str">
        <f>IFERROR(IF(AF163="","",IF(AF163&lt;=0.2,"Muy Baja",IF(AF163&lt;=0.4,"Baja",IF(AF163&lt;=0.6,"Media",IF(AF163&lt;=0.8,"Alta","Muy Alta"))))),"")</f>
        <v>Baja</v>
      </c>
      <c r="AH163" s="27">
        <f>IFERROR(IF(AND(X162="Impacto",X163="Impacto"),(AH162-(+AH162*AA163)),IF(X163="Impacto",(S161-(+S161*AA163)),IF(X163="Probabilidad",AH162,""))),"")</f>
        <v>1</v>
      </c>
      <c r="AI163" s="37" t="str">
        <f>IFERROR(IF(AH163="","",IF(AH163&lt;=0.2,"Leve",IF(AH163&lt;=0.4,"Menor",IF(AH163&lt;=0.6,"Moderado",IF(AH163&lt;=0.8,"Mayor","Catastrófico"))))),"")</f>
        <v>Catastrófico</v>
      </c>
      <c r="AJ163" s="36">
        <f>+AF163*AH163</f>
        <v>0.216</v>
      </c>
      <c r="AK163" s="340" t="str">
        <f t="shared" si="83"/>
        <v>Moderado</v>
      </c>
      <c r="AL163" s="616"/>
      <c r="AM163" s="564"/>
      <c r="AN163" s="354"/>
      <c r="AO163" s="354"/>
      <c r="AP163" s="354"/>
      <c r="AQ163" s="354"/>
      <c r="AR163" s="354"/>
      <c r="AS163" s="354"/>
    </row>
    <row r="164" spans="2:46" ht="89.25" x14ac:dyDescent="0.25">
      <c r="B164" s="48" t="s">
        <v>1184</v>
      </c>
      <c r="C164" s="48" t="s">
        <v>1217</v>
      </c>
      <c r="D164" s="46" t="s">
        <v>1218</v>
      </c>
      <c r="E164" s="46" t="s">
        <v>1586</v>
      </c>
      <c r="F164" s="358" t="s">
        <v>1419</v>
      </c>
      <c r="G164" s="49" t="s">
        <v>1219</v>
      </c>
      <c r="H164" s="385" t="s">
        <v>747</v>
      </c>
      <c r="I164" s="49" t="s">
        <v>748</v>
      </c>
      <c r="J164" s="46" t="s">
        <v>749</v>
      </c>
      <c r="K164" s="351" t="s">
        <v>750</v>
      </c>
      <c r="L164" s="46" t="s">
        <v>785</v>
      </c>
      <c r="M164" s="338" t="s">
        <v>752</v>
      </c>
      <c r="N164" s="351">
        <v>15712</v>
      </c>
      <c r="O164" s="371" t="str">
        <f t="shared" si="77"/>
        <v>Muy Alta</v>
      </c>
      <c r="P164" s="356">
        <f>+VLOOKUP(O164,Probabilidad!$B$5:$C$9,2,FALSE)</f>
        <v>1</v>
      </c>
      <c r="Q164" s="48" t="s">
        <v>786</v>
      </c>
      <c r="R164" s="371" t="str">
        <f>+VLOOKUP(Q164,Impacto!$B$5:$D$9,2,FALSE)</f>
        <v>Leve</v>
      </c>
      <c r="S164" s="356">
        <f>+VLOOKUP(Q164,Impacto!$B$5:$D$9,3,FALSE)</f>
        <v>0.2</v>
      </c>
      <c r="T164" s="356">
        <f t="shared" si="78"/>
        <v>0.2</v>
      </c>
      <c r="U164" s="346" t="str">
        <f t="shared" si="82"/>
        <v>Moderado</v>
      </c>
      <c r="V164" s="338">
        <v>1</v>
      </c>
      <c r="W164" s="38" t="s">
        <v>1525</v>
      </c>
      <c r="X164" s="352" t="str">
        <f t="shared" si="75"/>
        <v>Probabilidad</v>
      </c>
      <c r="Y164" s="337" t="s">
        <v>755</v>
      </c>
      <c r="Z164" s="337" t="s">
        <v>756</v>
      </c>
      <c r="AA164" s="353" t="str">
        <f t="shared" si="76"/>
        <v>40%</v>
      </c>
      <c r="AB164" s="337" t="s">
        <v>738</v>
      </c>
      <c r="AC164" s="337" t="s">
        <v>757</v>
      </c>
      <c r="AD164" s="337" t="s">
        <v>758</v>
      </c>
      <c r="AE164" s="38" t="s">
        <v>1526</v>
      </c>
      <c r="AF164" s="356">
        <f t="shared" ref="AF164:AF169" si="95">IFERROR(IF(X164="Probabilidad",(P164-(P164*AA164)),IF(X164="Impacto",P164,"")),"")</f>
        <v>0.6</v>
      </c>
      <c r="AG164" s="345" t="str">
        <f t="shared" ref="AG164:AG171" si="96">IFERROR(IF(AF164="","",IF(AF164&lt;=0.2,"Muy Baja",IF(AF164&lt;=0.4,"Baja",IF(AF164&lt;=0.6,"Media",IF(AF164&lt;=0.8,"Alta","Muy Alta"))))),"")</f>
        <v>Media</v>
      </c>
      <c r="AH164" s="356">
        <f t="shared" ref="AH164:AH169" si="97">IFERROR(IF(X164="Impacto",(S164-(S164*AA164)),IF(X164="Probabilidad",S164,"")),"")</f>
        <v>0.2</v>
      </c>
      <c r="AI164" s="345" t="str">
        <f t="shared" ref="AI164:AI171" si="98">IFERROR(IF(AH164="","",IF(AH164&lt;=0.2,"Leve",IF(AH164&lt;=0.4,"Menor",IF(AH164&lt;=0.6,"Moderado",IF(AH164&lt;=0.8,"Mayor","Catastrófico"))))),"")</f>
        <v>Leve</v>
      </c>
      <c r="AJ164" s="364">
        <f t="shared" ref="AJ164:AJ169" si="99">+AF164*AH164</f>
        <v>0.12</v>
      </c>
      <c r="AK164" s="340" t="str">
        <f t="shared" si="83"/>
        <v>Moderado</v>
      </c>
      <c r="AL164" s="366" t="str">
        <f t="shared" si="94"/>
        <v>Moderado</v>
      </c>
      <c r="AM164" s="26" t="s">
        <v>759</v>
      </c>
      <c r="AN164" s="354"/>
      <c r="AO164" s="354"/>
      <c r="AP164" s="354"/>
      <c r="AQ164" s="354"/>
      <c r="AR164" s="354"/>
      <c r="AS164" s="354"/>
    </row>
    <row r="165" spans="2:46" ht="114.75" x14ac:dyDescent="0.25">
      <c r="B165" s="28" t="s">
        <v>1184</v>
      </c>
      <c r="C165" s="28" t="s">
        <v>1217</v>
      </c>
      <c r="D165" s="38" t="s">
        <v>1220</v>
      </c>
      <c r="E165" s="38" t="s">
        <v>1221</v>
      </c>
      <c r="F165" s="38" t="s">
        <v>1420</v>
      </c>
      <c r="G165" s="39" t="s">
        <v>1222</v>
      </c>
      <c r="H165" s="216" t="s">
        <v>747</v>
      </c>
      <c r="I165" s="39" t="s">
        <v>1267</v>
      </c>
      <c r="J165" s="38" t="s">
        <v>791</v>
      </c>
      <c r="K165" s="41" t="s">
        <v>750</v>
      </c>
      <c r="L165" s="38" t="s">
        <v>751</v>
      </c>
      <c r="M165" s="40" t="s">
        <v>752</v>
      </c>
      <c r="N165" s="41">
        <v>15712</v>
      </c>
      <c r="O165" s="370" t="str">
        <f t="shared" si="77"/>
        <v>Muy Alta</v>
      </c>
      <c r="P165" s="355">
        <f>+VLOOKUP(O165,Probabilidad!$B$5:$C$9,2,FALSE)</f>
        <v>1</v>
      </c>
      <c r="Q165" s="28" t="s">
        <v>786</v>
      </c>
      <c r="R165" s="370" t="str">
        <f>+VLOOKUP(Q165,Impacto!$B$5:$D$9,2,FALSE)</f>
        <v>Leve</v>
      </c>
      <c r="S165" s="355">
        <f>+VLOOKUP(Q165,Impacto!$B$5:$D$9,3,FALSE)</f>
        <v>0.2</v>
      </c>
      <c r="T165" s="355">
        <f t="shared" si="78"/>
        <v>0.2</v>
      </c>
      <c r="U165" s="340" t="str">
        <f t="shared" si="82"/>
        <v>Moderado</v>
      </c>
      <c r="V165" s="40">
        <v>1</v>
      </c>
      <c r="W165" s="38" t="s">
        <v>1527</v>
      </c>
      <c r="X165" s="35" t="str">
        <f t="shared" si="75"/>
        <v>Probabilidad</v>
      </c>
      <c r="Y165" s="42" t="s">
        <v>755</v>
      </c>
      <c r="Z165" s="42" t="s">
        <v>756</v>
      </c>
      <c r="AA165" s="43" t="str">
        <f t="shared" si="76"/>
        <v>40%</v>
      </c>
      <c r="AB165" s="42" t="s">
        <v>738</v>
      </c>
      <c r="AC165" s="42" t="s">
        <v>757</v>
      </c>
      <c r="AD165" s="42" t="s">
        <v>758</v>
      </c>
      <c r="AE165" s="38" t="s">
        <v>1528</v>
      </c>
      <c r="AF165" s="355">
        <f t="shared" si="95"/>
        <v>0.6</v>
      </c>
      <c r="AG165" s="37" t="str">
        <f t="shared" si="96"/>
        <v>Media</v>
      </c>
      <c r="AH165" s="355">
        <f t="shared" si="97"/>
        <v>0.2</v>
      </c>
      <c r="AI165" s="37" t="str">
        <f t="shared" si="98"/>
        <v>Leve</v>
      </c>
      <c r="AJ165" s="36">
        <f t="shared" si="99"/>
        <v>0.12</v>
      </c>
      <c r="AK165" s="340" t="str">
        <f t="shared" si="83"/>
        <v>Moderado</v>
      </c>
      <c r="AL165" s="365" t="str">
        <f t="shared" si="94"/>
        <v>Moderado</v>
      </c>
      <c r="AM165" s="26" t="s">
        <v>759</v>
      </c>
      <c r="AN165" s="354"/>
      <c r="AO165" s="354"/>
      <c r="AP165" s="354"/>
      <c r="AQ165" s="354"/>
      <c r="AR165" s="354"/>
      <c r="AS165" s="354"/>
    </row>
    <row r="166" spans="2:46" ht="63.75" x14ac:dyDescent="0.25">
      <c r="B166" s="28" t="s">
        <v>1184</v>
      </c>
      <c r="C166" s="28" t="s">
        <v>1217</v>
      </c>
      <c r="D166" s="38" t="s">
        <v>1223</v>
      </c>
      <c r="E166" s="38" t="s">
        <v>1224</v>
      </c>
      <c r="F166" s="38" t="s">
        <v>1225</v>
      </c>
      <c r="G166" s="39" t="s">
        <v>1226</v>
      </c>
      <c r="H166" s="216" t="s">
        <v>747</v>
      </c>
      <c r="I166" s="39" t="s">
        <v>1267</v>
      </c>
      <c r="J166" s="38" t="s">
        <v>791</v>
      </c>
      <c r="K166" s="41" t="s">
        <v>750</v>
      </c>
      <c r="L166" s="38" t="s">
        <v>751</v>
      </c>
      <c r="M166" s="40" t="s">
        <v>752</v>
      </c>
      <c r="N166" s="41">
        <v>15712</v>
      </c>
      <c r="O166" s="370" t="str">
        <f t="shared" si="77"/>
        <v>Muy Alta</v>
      </c>
      <c r="P166" s="355">
        <f>+VLOOKUP(O166,Probabilidad!$B$5:$C$9,2,FALSE)</f>
        <v>1</v>
      </c>
      <c r="Q166" s="28" t="s">
        <v>786</v>
      </c>
      <c r="R166" s="370" t="str">
        <f>+VLOOKUP(Q166,Impacto!$B$5:$D$9,2,FALSE)</f>
        <v>Leve</v>
      </c>
      <c r="S166" s="355">
        <f>+VLOOKUP(Q166,Impacto!$B$5:$D$9,3,FALSE)</f>
        <v>0.2</v>
      </c>
      <c r="T166" s="355">
        <f t="shared" si="78"/>
        <v>0.2</v>
      </c>
      <c r="U166" s="340" t="str">
        <f t="shared" si="82"/>
        <v>Moderado</v>
      </c>
      <c r="V166" s="40">
        <v>1</v>
      </c>
      <c r="W166" s="38" t="s">
        <v>1530</v>
      </c>
      <c r="X166" s="35" t="str">
        <f t="shared" si="75"/>
        <v>Probabilidad</v>
      </c>
      <c r="Y166" s="42" t="s">
        <v>755</v>
      </c>
      <c r="Z166" s="42" t="s">
        <v>756</v>
      </c>
      <c r="AA166" s="43" t="str">
        <f t="shared" si="76"/>
        <v>40%</v>
      </c>
      <c r="AB166" s="42" t="s">
        <v>738</v>
      </c>
      <c r="AC166" s="42" t="s">
        <v>757</v>
      </c>
      <c r="AD166" s="42" t="s">
        <v>758</v>
      </c>
      <c r="AE166" s="38" t="s">
        <v>1529</v>
      </c>
      <c r="AF166" s="355">
        <f t="shared" si="95"/>
        <v>0.6</v>
      </c>
      <c r="AG166" s="37" t="str">
        <f t="shared" si="96"/>
        <v>Media</v>
      </c>
      <c r="AH166" s="355">
        <f t="shared" si="97"/>
        <v>0.2</v>
      </c>
      <c r="AI166" s="37" t="str">
        <f t="shared" si="98"/>
        <v>Leve</v>
      </c>
      <c r="AJ166" s="36">
        <f t="shared" si="99"/>
        <v>0.12</v>
      </c>
      <c r="AK166" s="340" t="str">
        <f t="shared" si="83"/>
        <v>Moderado</v>
      </c>
      <c r="AL166" s="365" t="str">
        <f t="shared" si="94"/>
        <v>Moderado</v>
      </c>
      <c r="AM166" s="26" t="s">
        <v>759</v>
      </c>
      <c r="AN166" s="354"/>
      <c r="AO166" s="354"/>
      <c r="AP166" s="354"/>
      <c r="AQ166" s="354"/>
      <c r="AR166" s="354"/>
      <c r="AS166" s="354"/>
    </row>
    <row r="167" spans="2:46" ht="63.75" x14ac:dyDescent="0.25">
      <c r="B167" s="28" t="s">
        <v>1184</v>
      </c>
      <c r="C167" s="28" t="s">
        <v>1217</v>
      </c>
      <c r="D167" s="38" t="s">
        <v>1227</v>
      </c>
      <c r="E167" s="38" t="s">
        <v>1587</v>
      </c>
      <c r="F167" s="38" t="s">
        <v>1421</v>
      </c>
      <c r="G167" s="39" t="s">
        <v>1228</v>
      </c>
      <c r="H167" s="216" t="s">
        <v>747</v>
      </c>
      <c r="I167" s="39" t="s">
        <v>1267</v>
      </c>
      <c r="J167" s="39" t="s">
        <v>791</v>
      </c>
      <c r="K167" s="41" t="s">
        <v>750</v>
      </c>
      <c r="L167" s="38" t="s">
        <v>751</v>
      </c>
      <c r="M167" s="40" t="s">
        <v>752</v>
      </c>
      <c r="N167" s="41">
        <v>15712</v>
      </c>
      <c r="O167" s="370" t="str">
        <f t="shared" si="77"/>
        <v>Muy Alta</v>
      </c>
      <c r="P167" s="355">
        <f>+VLOOKUP(O167,Probabilidad!$B$5:$C$9,2,FALSE)</f>
        <v>1</v>
      </c>
      <c r="Q167" s="28" t="s">
        <v>786</v>
      </c>
      <c r="R167" s="370" t="str">
        <f>+VLOOKUP(Q167,Impacto!$B$5:$D$9,2,FALSE)</f>
        <v>Leve</v>
      </c>
      <c r="S167" s="355">
        <f>+VLOOKUP(Q167,Impacto!$B$5:$D$9,3,FALSE)</f>
        <v>0.2</v>
      </c>
      <c r="T167" s="355">
        <f t="shared" si="78"/>
        <v>0.2</v>
      </c>
      <c r="U167" s="340" t="str">
        <f t="shared" si="82"/>
        <v>Moderado</v>
      </c>
      <c r="V167" s="40">
        <v>1</v>
      </c>
      <c r="W167" s="38" t="s">
        <v>1531</v>
      </c>
      <c r="X167" s="35" t="str">
        <f t="shared" si="75"/>
        <v>Probabilidad</v>
      </c>
      <c r="Y167" s="42" t="s">
        <v>755</v>
      </c>
      <c r="Z167" s="42" t="s">
        <v>756</v>
      </c>
      <c r="AA167" s="43" t="str">
        <f t="shared" si="76"/>
        <v>40%</v>
      </c>
      <c r="AB167" s="42" t="s">
        <v>738</v>
      </c>
      <c r="AC167" s="42" t="s">
        <v>757</v>
      </c>
      <c r="AD167" s="42" t="s">
        <v>758</v>
      </c>
      <c r="AE167" s="38" t="s">
        <v>1532</v>
      </c>
      <c r="AF167" s="355">
        <f t="shared" si="95"/>
        <v>0.6</v>
      </c>
      <c r="AG167" s="37" t="str">
        <f t="shared" si="96"/>
        <v>Media</v>
      </c>
      <c r="AH167" s="355">
        <f t="shared" si="97"/>
        <v>0.2</v>
      </c>
      <c r="AI167" s="37" t="str">
        <f t="shared" si="98"/>
        <v>Leve</v>
      </c>
      <c r="AJ167" s="36">
        <f t="shared" si="99"/>
        <v>0.12</v>
      </c>
      <c r="AK167" s="340" t="str">
        <f t="shared" si="83"/>
        <v>Moderado</v>
      </c>
      <c r="AL167" s="365" t="str">
        <f t="shared" si="94"/>
        <v>Moderado</v>
      </c>
      <c r="AM167" s="26" t="s">
        <v>759</v>
      </c>
      <c r="AN167" s="39" t="s">
        <v>1229</v>
      </c>
      <c r="AO167" s="39" t="s">
        <v>1230</v>
      </c>
      <c r="AP167" s="360">
        <v>45474</v>
      </c>
      <c r="AQ167" s="361" t="s">
        <v>762</v>
      </c>
      <c r="AR167" s="361" t="s">
        <v>1231</v>
      </c>
      <c r="AS167" s="38" t="s">
        <v>764</v>
      </c>
    </row>
    <row r="168" spans="2:46" ht="89.25" x14ac:dyDescent="0.25">
      <c r="B168" s="28" t="s">
        <v>1184</v>
      </c>
      <c r="C168" s="28" t="s">
        <v>1232</v>
      </c>
      <c r="D168" s="40" t="s">
        <v>794</v>
      </c>
      <c r="E168" s="39" t="s">
        <v>1233</v>
      </c>
      <c r="F168" s="39" t="s">
        <v>1422</v>
      </c>
      <c r="G168" s="39" t="s">
        <v>1533</v>
      </c>
      <c r="H168" s="216" t="s">
        <v>747</v>
      </c>
      <c r="I168" s="39" t="s">
        <v>1262</v>
      </c>
      <c r="J168" s="38" t="s">
        <v>791</v>
      </c>
      <c r="K168" s="41" t="s">
        <v>750</v>
      </c>
      <c r="L168" s="38" t="s">
        <v>785</v>
      </c>
      <c r="M168" s="40" t="s">
        <v>752</v>
      </c>
      <c r="N168" s="40">
        <v>7</v>
      </c>
      <c r="O168" s="370" t="str">
        <f t="shared" si="77"/>
        <v>Baja</v>
      </c>
      <c r="P168" s="355">
        <f>+VLOOKUP(O168,Probabilidad!$B$5:$C$9,2,FALSE)</f>
        <v>0.4</v>
      </c>
      <c r="Q168" s="28" t="s">
        <v>1076</v>
      </c>
      <c r="R168" s="370" t="str">
        <f>+VLOOKUP(Q168,Impacto!$B$5:$D$9,2,FALSE)</f>
        <v>Catastrófico</v>
      </c>
      <c r="S168" s="355">
        <f>+VLOOKUP(Q168,Impacto!$B$5:$D$9,3,FALSE)</f>
        <v>1</v>
      </c>
      <c r="T168" s="355">
        <f t="shared" si="78"/>
        <v>0.4</v>
      </c>
      <c r="U168" s="340" t="str">
        <f t="shared" si="82"/>
        <v>Alto</v>
      </c>
      <c r="V168" s="40">
        <v>1</v>
      </c>
      <c r="W168" s="39" t="s">
        <v>1496</v>
      </c>
      <c r="X168" s="35" t="str">
        <f t="shared" si="75"/>
        <v>Probabilidad</v>
      </c>
      <c r="Y168" s="42" t="s">
        <v>755</v>
      </c>
      <c r="Z168" s="42" t="s">
        <v>756</v>
      </c>
      <c r="AA168" s="43" t="str">
        <f t="shared" si="76"/>
        <v>40%</v>
      </c>
      <c r="AB168" s="42" t="s">
        <v>738</v>
      </c>
      <c r="AC168" s="42" t="s">
        <v>757</v>
      </c>
      <c r="AD168" s="42" t="s">
        <v>758</v>
      </c>
      <c r="AE168" s="342" t="s">
        <v>1497</v>
      </c>
      <c r="AF168" s="355">
        <f t="shared" si="95"/>
        <v>0.24</v>
      </c>
      <c r="AG168" s="37" t="str">
        <f t="shared" si="96"/>
        <v>Baja</v>
      </c>
      <c r="AH168" s="355">
        <f t="shared" si="97"/>
        <v>1</v>
      </c>
      <c r="AI168" s="37" t="str">
        <f t="shared" si="98"/>
        <v>Catastrófico</v>
      </c>
      <c r="AJ168" s="36">
        <f t="shared" si="99"/>
        <v>0.24</v>
      </c>
      <c r="AK168" s="340" t="str">
        <f t="shared" si="83"/>
        <v>Moderado</v>
      </c>
      <c r="AL168" s="365" t="str">
        <f t="shared" si="94"/>
        <v>Moderado</v>
      </c>
      <c r="AM168" s="26" t="s">
        <v>759</v>
      </c>
      <c r="AN168" s="39" t="s">
        <v>1234</v>
      </c>
      <c r="AO168" s="39" t="s">
        <v>1235</v>
      </c>
      <c r="AP168" s="362">
        <v>45474</v>
      </c>
      <c r="AQ168" s="363" t="s">
        <v>762</v>
      </c>
      <c r="AR168" s="363" t="s">
        <v>1236</v>
      </c>
      <c r="AS168" s="363" t="s">
        <v>764</v>
      </c>
    </row>
    <row r="169" spans="2:46" ht="63.75" x14ac:dyDescent="0.25">
      <c r="B169" s="553" t="s">
        <v>1237</v>
      </c>
      <c r="C169" s="554" t="s">
        <v>1237</v>
      </c>
      <c r="D169" s="558" t="s">
        <v>1238</v>
      </c>
      <c r="E169" s="558" t="s">
        <v>1674</v>
      </c>
      <c r="F169" s="558" t="s">
        <v>1487</v>
      </c>
      <c r="G169" s="560" t="s">
        <v>1239</v>
      </c>
      <c r="H169" s="560" t="s">
        <v>747</v>
      </c>
      <c r="I169" s="560" t="s">
        <v>748</v>
      </c>
      <c r="J169" s="560" t="s">
        <v>749</v>
      </c>
      <c r="K169" s="578" t="s">
        <v>750</v>
      </c>
      <c r="L169" s="560" t="s">
        <v>1240</v>
      </c>
      <c r="M169" s="578" t="s">
        <v>752</v>
      </c>
      <c r="N169" s="578">
        <v>2</v>
      </c>
      <c r="O169" s="576" t="str">
        <f t="shared" si="77"/>
        <v>Muy Baja</v>
      </c>
      <c r="P169" s="577">
        <f>+VLOOKUP(O169,Probabilidad!$B$5:$C$9,2,FALSE)</f>
        <v>0.2</v>
      </c>
      <c r="Q169" s="553" t="s">
        <v>786</v>
      </c>
      <c r="R169" s="576" t="str">
        <f>+VLOOKUP(Q169,Impacto!$B$5:$D$9,2,FALSE)</f>
        <v>Leve</v>
      </c>
      <c r="S169" s="577">
        <f>+VLOOKUP(Q169,Impacto!$B$5:$D$9,3,FALSE)</f>
        <v>0.2</v>
      </c>
      <c r="T169" s="577">
        <f t="shared" si="78"/>
        <v>4.0000000000000008E-2</v>
      </c>
      <c r="U169" s="515" t="str">
        <f t="shared" si="82"/>
        <v>Bajo</v>
      </c>
      <c r="V169" s="40">
        <v>1</v>
      </c>
      <c r="W169" s="38" t="s">
        <v>1241</v>
      </c>
      <c r="X169" s="35" t="str">
        <f t="shared" si="75"/>
        <v>Probabilidad</v>
      </c>
      <c r="Y169" s="42" t="s">
        <v>755</v>
      </c>
      <c r="Z169" s="42" t="s">
        <v>756</v>
      </c>
      <c r="AA169" s="43" t="str">
        <f t="shared" si="76"/>
        <v>40%</v>
      </c>
      <c r="AB169" s="42" t="s">
        <v>738</v>
      </c>
      <c r="AC169" s="42" t="s">
        <v>757</v>
      </c>
      <c r="AD169" s="42" t="s">
        <v>758</v>
      </c>
      <c r="AE169" s="38" t="s">
        <v>1242</v>
      </c>
      <c r="AF169" s="355">
        <f t="shared" si="95"/>
        <v>0.12</v>
      </c>
      <c r="AG169" s="37" t="str">
        <f t="shared" si="96"/>
        <v>Muy Baja</v>
      </c>
      <c r="AH169" s="355">
        <f t="shared" si="97"/>
        <v>0.2</v>
      </c>
      <c r="AI169" s="37" t="str">
        <f t="shared" si="98"/>
        <v>Leve</v>
      </c>
      <c r="AJ169" s="36">
        <f t="shared" si="99"/>
        <v>2.4E-2</v>
      </c>
      <c r="AK169" s="340" t="str">
        <f t="shared" si="83"/>
        <v>Bajo</v>
      </c>
      <c r="AL169" s="614" t="str">
        <f>+AK170</f>
        <v>Bajo</v>
      </c>
      <c r="AM169" s="563" t="s">
        <v>759</v>
      </c>
      <c r="AN169" s="354"/>
      <c r="AO169" s="354"/>
      <c r="AP169" s="354"/>
      <c r="AQ169" s="354"/>
      <c r="AR169" s="354"/>
      <c r="AS169" s="354"/>
    </row>
    <row r="170" spans="2:46" ht="76.5" x14ac:dyDescent="0.25">
      <c r="B170" s="553"/>
      <c r="C170" s="555"/>
      <c r="D170" s="558"/>
      <c r="E170" s="558"/>
      <c r="F170" s="561"/>
      <c r="G170" s="560"/>
      <c r="H170" s="560"/>
      <c r="I170" s="560"/>
      <c r="J170" s="578"/>
      <c r="K170" s="578"/>
      <c r="L170" s="560"/>
      <c r="M170" s="578"/>
      <c r="N170" s="578"/>
      <c r="O170" s="576"/>
      <c r="P170" s="577"/>
      <c r="Q170" s="553"/>
      <c r="R170" s="576" t="e">
        <f>+VLOOKUP(Q170,Impacto!$B$5:$D$9,2,FALSE)</f>
        <v>#N/A</v>
      </c>
      <c r="S170" s="577" t="e">
        <f>+VLOOKUP(Q170,Impacto!$B$5:$D$9,3,FALSE)</f>
        <v>#N/A</v>
      </c>
      <c r="T170" s="577"/>
      <c r="U170" s="515" t="str">
        <f t="shared" si="82"/>
        <v>Bajo</v>
      </c>
      <c r="V170" s="40">
        <v>2</v>
      </c>
      <c r="W170" s="359" t="s">
        <v>1243</v>
      </c>
      <c r="X170" s="35" t="str">
        <f t="shared" si="75"/>
        <v>Probabilidad</v>
      </c>
      <c r="Y170" s="42" t="s">
        <v>755</v>
      </c>
      <c r="Z170" s="42" t="s">
        <v>756</v>
      </c>
      <c r="AA170" s="43" t="str">
        <f t="shared" si="76"/>
        <v>40%</v>
      </c>
      <c r="AB170" s="42" t="s">
        <v>738</v>
      </c>
      <c r="AC170" s="42" t="s">
        <v>757</v>
      </c>
      <c r="AD170" s="42" t="s">
        <v>758</v>
      </c>
      <c r="AE170" s="38" t="s">
        <v>1244</v>
      </c>
      <c r="AF170" s="27">
        <f>IFERROR(IF(AND(X169="Probabilidad",X170="Probabilidad"),(AF169-(+AF169*AA170)),IF(X170="Probabilidad",(P169-(P169*AA170)),IF(X170="Impacto",P169,""))),"")</f>
        <v>7.1999999999999995E-2</v>
      </c>
      <c r="AG170" s="37" t="str">
        <f>IFERROR(IF(AF170="","",IF(AF170&lt;=0.2,"Muy Baja",IF(AF170&lt;=0.4,"Baja",IF(AF170&lt;=0.6,"Media",IF(AF170&lt;=0.8,"Alta","Muy Alta"))))),"")</f>
        <v>Muy Baja</v>
      </c>
      <c r="AH170" s="27">
        <f>IFERROR(IF(AND(X169="Impacto",X170="Impacto"),(AH169-(+AH169*AA170)),IF(X170="Impacto",(S169-(+S169*AA170)),IF(X170="Probabilidad",AH169,""))),"")</f>
        <v>0.2</v>
      </c>
      <c r="AI170" s="37" t="str">
        <f>IFERROR(IF(AH170="","",IF(AH170&lt;=0.2,"Leve",IF(AH170&lt;=0.4,"Menor",IF(AH170&lt;=0.6,"Moderado",IF(AH170&lt;=0.8,"Mayor","Catastrófico"))))),"")</f>
        <v>Leve</v>
      </c>
      <c r="AJ170" s="36">
        <f>+AF170*AH170</f>
        <v>1.44E-2</v>
      </c>
      <c r="AK170" s="340" t="str">
        <f t="shared" si="83"/>
        <v>Bajo</v>
      </c>
      <c r="AL170" s="616"/>
      <c r="AM170" s="564"/>
      <c r="AN170" s="354"/>
      <c r="AO170" s="354"/>
      <c r="AP170" s="354"/>
      <c r="AQ170" s="354"/>
      <c r="AR170" s="354"/>
      <c r="AS170" s="354"/>
    </row>
    <row r="171" spans="2:46" ht="114.75" x14ac:dyDescent="0.25">
      <c r="B171" s="553" t="s">
        <v>1237</v>
      </c>
      <c r="C171" s="554" t="s">
        <v>1237</v>
      </c>
      <c r="D171" s="558" t="s">
        <v>1245</v>
      </c>
      <c r="E171" s="558" t="s">
        <v>1246</v>
      </c>
      <c r="F171" s="558" t="s">
        <v>1423</v>
      </c>
      <c r="G171" s="558" t="s">
        <v>1247</v>
      </c>
      <c r="H171" s="558" t="s">
        <v>747</v>
      </c>
      <c r="I171" s="558" t="s">
        <v>748</v>
      </c>
      <c r="J171" s="560" t="s">
        <v>749</v>
      </c>
      <c r="K171" s="578" t="s">
        <v>750</v>
      </c>
      <c r="L171" s="560" t="s">
        <v>1240</v>
      </c>
      <c r="M171" s="578" t="s">
        <v>752</v>
      </c>
      <c r="N171" s="578">
        <v>12</v>
      </c>
      <c r="O171" s="576" t="str">
        <f t="shared" si="77"/>
        <v>Baja</v>
      </c>
      <c r="P171" s="577">
        <f>+VLOOKUP(O171,Probabilidad!$B$5:$C$9,2,FALSE)</f>
        <v>0.4</v>
      </c>
      <c r="Q171" s="553" t="s">
        <v>786</v>
      </c>
      <c r="R171" s="576" t="str">
        <f>+VLOOKUP(Q171,Impacto!$B$5:$D$9,2,FALSE)</f>
        <v>Leve</v>
      </c>
      <c r="S171" s="577">
        <f>+VLOOKUP(Q171,Impacto!$B$5:$D$9,3,FALSE)</f>
        <v>0.2</v>
      </c>
      <c r="T171" s="577">
        <f t="shared" si="78"/>
        <v>8.0000000000000016E-2</v>
      </c>
      <c r="U171" s="515" t="str">
        <f t="shared" si="82"/>
        <v>Bajo</v>
      </c>
      <c r="V171" s="40">
        <v>1</v>
      </c>
      <c r="W171" s="38" t="s">
        <v>1248</v>
      </c>
      <c r="X171" s="35" t="str">
        <f t="shared" si="75"/>
        <v>Probabilidad</v>
      </c>
      <c r="Y171" s="42" t="s">
        <v>755</v>
      </c>
      <c r="Z171" s="42" t="s">
        <v>756</v>
      </c>
      <c r="AA171" s="43" t="str">
        <f t="shared" si="76"/>
        <v>40%</v>
      </c>
      <c r="AB171" s="42" t="s">
        <v>738</v>
      </c>
      <c r="AC171" s="42" t="s">
        <v>757</v>
      </c>
      <c r="AD171" s="42" t="s">
        <v>758</v>
      </c>
      <c r="AE171" s="38" t="s">
        <v>1488</v>
      </c>
      <c r="AF171" s="355">
        <f>IFERROR(IF(X171="Probabilidad",(P171-(P171*AA171)),IF(X171="Impacto",P171,"")),"")</f>
        <v>0.24</v>
      </c>
      <c r="AG171" s="37" t="str">
        <f t="shared" si="96"/>
        <v>Baja</v>
      </c>
      <c r="AH171" s="355">
        <f>IFERROR(IF(X171="Impacto",(S171-(S171*AA171)),IF(X171="Probabilidad",S171,"")),"")</f>
        <v>0.2</v>
      </c>
      <c r="AI171" s="37" t="str">
        <f t="shared" si="98"/>
        <v>Leve</v>
      </c>
      <c r="AJ171" s="36">
        <f>+AF171*AH171</f>
        <v>4.8000000000000001E-2</v>
      </c>
      <c r="AK171" s="340" t="str">
        <f t="shared" si="83"/>
        <v>Bajo</v>
      </c>
      <c r="AL171" s="614" t="str">
        <f>+AK173</f>
        <v>Bajo</v>
      </c>
      <c r="AM171" s="563" t="s">
        <v>759</v>
      </c>
      <c r="AN171" s="354"/>
      <c r="AO171" s="354"/>
      <c r="AP171" s="354"/>
      <c r="AQ171" s="354"/>
      <c r="AR171" s="354"/>
      <c r="AS171" s="354"/>
      <c r="AT171" s="22">
        <f>16/18</f>
        <v>0.88888888888888884</v>
      </c>
    </row>
    <row r="172" spans="2:46" ht="76.5" x14ac:dyDescent="0.25">
      <c r="B172" s="553"/>
      <c r="C172" s="566"/>
      <c r="D172" s="558"/>
      <c r="E172" s="558"/>
      <c r="F172" s="558"/>
      <c r="G172" s="558"/>
      <c r="H172" s="558"/>
      <c r="I172" s="558"/>
      <c r="J172" s="578"/>
      <c r="K172" s="578"/>
      <c r="L172" s="560"/>
      <c r="M172" s="578"/>
      <c r="N172" s="578"/>
      <c r="O172" s="576"/>
      <c r="P172" s="577"/>
      <c r="Q172" s="553"/>
      <c r="R172" s="576" t="e">
        <f>+VLOOKUP(Q172,Impacto!$B$5:$D$9,2,FALSE)</f>
        <v>#N/A</v>
      </c>
      <c r="S172" s="577" t="e">
        <f>+VLOOKUP(Q172,Impacto!$B$5:$D$9,3,FALSE)</f>
        <v>#N/A</v>
      </c>
      <c r="T172" s="577"/>
      <c r="U172" s="515" t="str">
        <f t="shared" si="82"/>
        <v>Bajo</v>
      </c>
      <c r="V172" s="40">
        <v>2</v>
      </c>
      <c r="W172" s="38" t="s">
        <v>1249</v>
      </c>
      <c r="X172" s="35" t="str">
        <f t="shared" si="75"/>
        <v>Probabilidad</v>
      </c>
      <c r="Y172" s="42" t="s">
        <v>755</v>
      </c>
      <c r="Z172" s="42" t="s">
        <v>756</v>
      </c>
      <c r="AA172" s="43" t="str">
        <f t="shared" si="76"/>
        <v>40%</v>
      </c>
      <c r="AB172" s="42" t="s">
        <v>738</v>
      </c>
      <c r="AC172" s="42" t="s">
        <v>757</v>
      </c>
      <c r="AD172" s="42" t="s">
        <v>758</v>
      </c>
      <c r="AE172" s="38" t="s">
        <v>1489</v>
      </c>
      <c r="AF172" s="27">
        <f>IFERROR(IF(AND(X171="Probabilidad",X172="Probabilidad"),(AF171-(+AF171*AA172)),IF(X172="Probabilidad",(P171-(P171*AA172)),IF(X172="Impacto",P171,""))),"")</f>
        <v>0.14399999999999999</v>
      </c>
      <c r="AG172" s="37" t="str">
        <f>IFERROR(IF(AF172="","",IF(AF172&lt;=0.2,"Muy Baja",IF(AF172&lt;=0.4,"Baja",IF(AF172&lt;=0.6,"Media",IF(AF172&lt;=0.8,"Alta","Muy Alta"))))),"")</f>
        <v>Muy Baja</v>
      </c>
      <c r="AH172" s="27">
        <f>IFERROR(IF(AND(X171="Impacto",X172="Impacto"),(AH171-(+AH171*AA172)),IF(X172="Impacto",(S171-(+S171*AA172)),IF(X172="Probabilidad",AH171,""))),"")</f>
        <v>0.2</v>
      </c>
      <c r="AI172" s="37" t="str">
        <f>IFERROR(IF(AH172="","",IF(AH172&lt;=0.2,"Leve",IF(AH172&lt;=0.4,"Menor",IF(AH172&lt;=0.6,"Moderado",IF(AH172&lt;=0.8,"Mayor","Catastrófico"))))),"")</f>
        <v>Leve</v>
      </c>
      <c r="AJ172" s="36">
        <f>+AF172*AH172</f>
        <v>2.8799999999999999E-2</v>
      </c>
      <c r="AK172" s="340" t="str">
        <f t="shared" si="83"/>
        <v>Bajo</v>
      </c>
      <c r="AL172" s="615"/>
      <c r="AM172" s="598"/>
      <c r="AN172" s="354"/>
      <c r="AO172" s="354"/>
      <c r="AP172" s="354"/>
      <c r="AQ172" s="354"/>
      <c r="AR172" s="354"/>
      <c r="AS172" s="354"/>
    </row>
    <row r="173" spans="2:46" ht="114.75" customHeight="1" x14ac:dyDescent="0.25">
      <c r="B173" s="553"/>
      <c r="C173" s="555"/>
      <c r="D173" s="558"/>
      <c r="E173" s="558"/>
      <c r="F173" s="558"/>
      <c r="G173" s="558"/>
      <c r="H173" s="558"/>
      <c r="I173" s="558"/>
      <c r="J173" s="578"/>
      <c r="K173" s="578"/>
      <c r="L173" s="560"/>
      <c r="M173" s="578"/>
      <c r="N173" s="578"/>
      <c r="O173" s="576"/>
      <c r="P173" s="577"/>
      <c r="Q173" s="553"/>
      <c r="R173" s="576" t="e">
        <f>+VLOOKUP(Q173,Impacto!$B$5:$D$9,2,FALSE)</f>
        <v>#N/A</v>
      </c>
      <c r="S173" s="577" t="e">
        <f>+VLOOKUP(Q173,Impacto!$B$5:$D$9,3,FALSE)</f>
        <v>#N/A</v>
      </c>
      <c r="T173" s="577"/>
      <c r="U173" s="515" t="str">
        <f t="shared" si="82"/>
        <v>Bajo</v>
      </c>
      <c r="V173" s="40">
        <v>3</v>
      </c>
      <c r="W173" s="38" t="s">
        <v>1250</v>
      </c>
      <c r="X173" s="35" t="str">
        <f t="shared" si="75"/>
        <v>Probabilidad</v>
      </c>
      <c r="Y173" s="42" t="s">
        <v>755</v>
      </c>
      <c r="Z173" s="42" t="s">
        <v>756</v>
      </c>
      <c r="AA173" s="43" t="str">
        <f t="shared" si="76"/>
        <v>40%</v>
      </c>
      <c r="AB173" s="42" t="s">
        <v>738</v>
      </c>
      <c r="AC173" s="42" t="s">
        <v>757</v>
      </c>
      <c r="AD173" s="42" t="s">
        <v>758</v>
      </c>
      <c r="AE173" s="38" t="s">
        <v>1490</v>
      </c>
      <c r="AF173" s="27">
        <f>IFERROR(IF(AND(X172="Probabilidad",X173="Probabilidad"),(AF172-(+AF172*AA173)),IF(X173="Probabilidad",(P171-(P171*AA173)),IF(X173="Impacto",P171,""))),"")</f>
        <v>8.6399999999999991E-2</v>
      </c>
      <c r="AG173" s="37" t="str">
        <f>IFERROR(IF(AF173="","",IF(AF173&lt;=0.2,"Muy Baja",IF(AF173&lt;=0.4,"Baja",IF(AF173&lt;=0.6,"Media",IF(AF173&lt;=0.8,"Alta","Muy Alta"))))),"")</f>
        <v>Muy Baja</v>
      </c>
      <c r="AH173" s="27">
        <f>IFERROR(IF(AND(X172="Impacto",X173="Impacto"),(AH172-(+AH172*AA173)),IF(X173="Impacto",(S171-(+S171*AA173)),IF(X173="Probabilidad",AH172,""))),"")</f>
        <v>0.2</v>
      </c>
      <c r="AI173" s="37" t="str">
        <f>IFERROR(IF(AH173="","",IF(AH173&lt;=0.2,"Leve",IF(AH173&lt;=0.4,"Menor",IF(AH173&lt;=0.6,"Moderado",IF(AH173&lt;=0.8,"Mayor","Catastrófico"))))),"")</f>
        <v>Leve</v>
      </c>
      <c r="AJ173" s="36">
        <f>+AF173*AH173</f>
        <v>1.728E-2</v>
      </c>
      <c r="AK173" s="340" t="str">
        <f t="shared" si="83"/>
        <v>Bajo</v>
      </c>
      <c r="AL173" s="616"/>
      <c r="AM173" s="564"/>
      <c r="AN173" s="354"/>
      <c r="AO173" s="354"/>
      <c r="AP173" s="354"/>
      <c r="AQ173" s="354"/>
      <c r="AR173" s="354"/>
      <c r="AS173" s="354"/>
    </row>
    <row r="174" spans="2:46" ht="63.75" customHeight="1" x14ac:dyDescent="0.25">
      <c r="B174" s="28" t="s">
        <v>1237</v>
      </c>
      <c r="C174" s="28" t="s">
        <v>1237</v>
      </c>
      <c r="D174" s="38" t="s">
        <v>1498</v>
      </c>
      <c r="E174" s="38" t="s">
        <v>782</v>
      </c>
      <c r="F174" s="38" t="s">
        <v>1369</v>
      </c>
      <c r="G174" s="39" t="s">
        <v>783</v>
      </c>
      <c r="H174" s="216" t="s">
        <v>747</v>
      </c>
      <c r="I174" s="39" t="s">
        <v>748</v>
      </c>
      <c r="J174" s="39" t="s">
        <v>784</v>
      </c>
      <c r="K174" s="41" t="s">
        <v>750</v>
      </c>
      <c r="L174" s="38" t="s">
        <v>785</v>
      </c>
      <c r="M174" s="40" t="s">
        <v>752</v>
      </c>
      <c r="N174" s="41">
        <v>5</v>
      </c>
      <c r="O174" s="370" t="str">
        <f t="shared" ref="O174" si="100">IF(N174&lt;=0,"",IF(N174&lt;=2,"Muy Baja",IF(N174&lt;=24,"Baja",IF(N174&lt;=500,"Media",IF(N174&lt;=5000,"Alta","Muy Alta")))))</f>
        <v>Baja</v>
      </c>
      <c r="P174" s="355">
        <f>+VLOOKUP(O174,Probabilidad!$B$5:$C$9,2,FALSE)</f>
        <v>0.4</v>
      </c>
      <c r="Q174" s="28" t="s">
        <v>786</v>
      </c>
      <c r="R174" s="370" t="str">
        <f>+VLOOKUP(Q174,Impacto!$B$5:$D$9,2,FALSE)</f>
        <v>Leve</v>
      </c>
      <c r="S174" s="355">
        <f>+VLOOKUP(Q174,Impacto!$B$5:$D$9,3,FALSE)</f>
        <v>0.2</v>
      </c>
      <c r="T174" s="355">
        <f t="shared" ref="T174" si="101">+P174*S174</f>
        <v>8.0000000000000016E-2</v>
      </c>
      <c r="U174" s="340" t="str">
        <f t="shared" si="82"/>
        <v>Bajo</v>
      </c>
      <c r="V174" s="40">
        <v>1</v>
      </c>
      <c r="W174" s="38" t="s">
        <v>1499</v>
      </c>
      <c r="X174" s="35" t="str">
        <f t="shared" si="75"/>
        <v>Probabilidad</v>
      </c>
      <c r="Y174" s="42" t="s">
        <v>755</v>
      </c>
      <c r="Z174" s="42" t="s">
        <v>756</v>
      </c>
      <c r="AA174" s="43" t="str">
        <f t="shared" si="76"/>
        <v>40%</v>
      </c>
      <c r="AB174" s="42" t="s">
        <v>738</v>
      </c>
      <c r="AC174" s="42" t="s">
        <v>757</v>
      </c>
      <c r="AD174" s="42" t="s">
        <v>758</v>
      </c>
      <c r="AE174" s="342" t="s">
        <v>1432</v>
      </c>
      <c r="AF174" s="27">
        <f>IFERROR(IF(X174="Probabilidad",(P174-(P174*AA174)),IF(X174="Impacto",P174,"")),"")</f>
        <v>0.24</v>
      </c>
      <c r="AG174" s="37" t="str">
        <f>IFERROR(IF(AF174="","",IF(AF174&lt;=0.2,"Muy Baja",IF(AF174&lt;=0.4,"Baja",IF(AF174&lt;=0.6,"Media",IF(AF174&lt;=0.8,"Alta","Muy Alta"))))),"")</f>
        <v>Baja</v>
      </c>
      <c r="AH174" s="27">
        <f>IFERROR(IF(X174="Impacto",(S174-(S174*AA174)),IF(X174="Probabilidad",S174,"")),"")</f>
        <v>0.2</v>
      </c>
      <c r="AI174" s="37" t="str">
        <f>IFERROR(IF(AH174="","",IF(AH174&lt;=0.2,"Leve",IF(AH174&lt;=0.4,"Menor",IF(AH174&lt;=0.6,"Moderado",IF(AH174&lt;=0.8,"Mayor","Catastrófico"))))),"")</f>
        <v>Leve</v>
      </c>
      <c r="AJ174" s="36">
        <f>+AF174*AH174</f>
        <v>4.8000000000000001E-2</v>
      </c>
      <c r="AK174" s="340" t="str">
        <f t="shared" si="83"/>
        <v>Bajo</v>
      </c>
      <c r="AL174" s="365" t="str">
        <f>+AK174</f>
        <v>Bajo</v>
      </c>
      <c r="AM174" s="26" t="s">
        <v>759</v>
      </c>
      <c r="AN174" s="39"/>
      <c r="AO174" s="39"/>
      <c r="AP174" s="360"/>
      <c r="AQ174" s="361"/>
      <c r="AR174" s="361"/>
      <c r="AS174" s="38"/>
    </row>
  </sheetData>
  <autoFilter ref="A8:BW174" xr:uid="{765922F2-E869-4944-BE27-CB100E14F673}">
    <filterColumn colId="14" showButton="0"/>
    <filterColumn colId="16" showButton="0"/>
    <filterColumn colId="17" showButton="0"/>
    <filterColumn colId="19" showButton="0"/>
    <filterColumn colId="31" showButton="0"/>
    <filterColumn colId="33" showButton="0"/>
  </autoFilter>
  <mergeCells count="790">
    <mergeCell ref="AM132:AM133"/>
    <mergeCell ref="AM135:AM136"/>
    <mergeCell ref="AM138:AM139"/>
    <mergeCell ref="AM142:AM146"/>
    <mergeCell ref="AM147:AM148"/>
    <mergeCell ref="AM154:AM155"/>
    <mergeCell ref="AM161:AM163"/>
    <mergeCell ref="AM169:AM170"/>
    <mergeCell ref="AM171:AM173"/>
    <mergeCell ref="AM95:AM96"/>
    <mergeCell ref="AM97:AM98"/>
    <mergeCell ref="AM102:AM103"/>
    <mergeCell ref="AM106:AM107"/>
    <mergeCell ref="AM119:AM120"/>
    <mergeCell ref="AM122:AM123"/>
    <mergeCell ref="AM124:AM125"/>
    <mergeCell ref="AM126:AM127"/>
    <mergeCell ref="AM129:AM131"/>
    <mergeCell ref="AM38:AM39"/>
    <mergeCell ref="AM41:AM43"/>
    <mergeCell ref="AM45:AM46"/>
    <mergeCell ref="AM48:AM50"/>
    <mergeCell ref="AM51:AM54"/>
    <mergeCell ref="AM56:AM57"/>
    <mergeCell ref="AM75:AM76"/>
    <mergeCell ref="AM79:AM80"/>
    <mergeCell ref="AM81:AM82"/>
    <mergeCell ref="B2:E3"/>
    <mergeCell ref="F2:AM3"/>
    <mergeCell ref="AN2:AS3"/>
    <mergeCell ref="B4:E4"/>
    <mergeCell ref="F4:AM4"/>
    <mergeCell ref="AN4:AS4"/>
    <mergeCell ref="AM18:AM26"/>
    <mergeCell ref="AM13:AM15"/>
    <mergeCell ref="AM16:AM17"/>
    <mergeCell ref="S18:S26"/>
    <mergeCell ref="T18:T26"/>
    <mergeCell ref="U18:U26"/>
    <mergeCell ref="AL18:AL26"/>
    <mergeCell ref="C16:C17"/>
    <mergeCell ref="D16:D17"/>
    <mergeCell ref="AQ7:AQ8"/>
    <mergeCell ref="S13:S15"/>
    <mergeCell ref="T13:T15"/>
    <mergeCell ref="U13:U15"/>
    <mergeCell ref="V7:V8"/>
    <mergeCell ref="W7:W8"/>
    <mergeCell ref="X7:X8"/>
    <mergeCell ref="Y7:AE7"/>
    <mergeCell ref="T7:U8"/>
    <mergeCell ref="C161:C163"/>
    <mergeCell ref="C169:C170"/>
    <mergeCell ref="C171:C173"/>
    <mergeCell ref="C79:C80"/>
    <mergeCell ref="B79:B80"/>
    <mergeCell ref="C81:C82"/>
    <mergeCell ref="B81:B82"/>
    <mergeCell ref="AL95:AL96"/>
    <mergeCell ref="AL97:AL98"/>
    <mergeCell ref="AL106:AL107"/>
    <mergeCell ref="AL126:AL127"/>
    <mergeCell ref="AL122:AL123"/>
    <mergeCell ref="C122:C123"/>
    <mergeCell ref="C124:C125"/>
    <mergeCell ref="C126:C127"/>
    <mergeCell ref="C129:C131"/>
    <mergeCell ref="C132:C133"/>
    <mergeCell ref="C135:C136"/>
    <mergeCell ref="C138:C139"/>
    <mergeCell ref="C147:C148"/>
    <mergeCell ref="C154:C155"/>
    <mergeCell ref="AL138:AL139"/>
    <mergeCell ref="AL142:AL146"/>
    <mergeCell ref="AL147:AL148"/>
    <mergeCell ref="AL56:AL57"/>
    <mergeCell ref="C51:C54"/>
    <mergeCell ref="C56:C57"/>
    <mergeCell ref="C119:C120"/>
    <mergeCell ref="B56:B57"/>
    <mergeCell ref="D56:D57"/>
    <mergeCell ref="E56:E57"/>
    <mergeCell ref="F56:F57"/>
    <mergeCell ref="G56:G57"/>
    <mergeCell ref="H56:H57"/>
    <mergeCell ref="I56:I57"/>
    <mergeCell ref="J56:J57"/>
    <mergeCell ref="K56:K57"/>
    <mergeCell ref="L56:L57"/>
    <mergeCell ref="M56:M57"/>
    <mergeCell ref="N56:N57"/>
    <mergeCell ref="O56:O57"/>
    <mergeCell ref="P56:P57"/>
    <mergeCell ref="Q56:Q57"/>
    <mergeCell ref="R56:R57"/>
    <mergeCell ref="S56:S57"/>
    <mergeCell ref="Q51:Q54"/>
    <mergeCell ref="R51:R54"/>
    <mergeCell ref="S51:S54"/>
    <mergeCell ref="T31:T32"/>
    <mergeCell ref="U31:U32"/>
    <mergeCell ref="AL31:AL32"/>
    <mergeCell ref="C34:C35"/>
    <mergeCell ref="C41:C43"/>
    <mergeCell ref="C45:C46"/>
    <mergeCell ref="C48:C50"/>
    <mergeCell ref="R27:R30"/>
    <mergeCell ref="S27:S30"/>
    <mergeCell ref="T27:T30"/>
    <mergeCell ref="U27:U30"/>
    <mergeCell ref="AL27:AL30"/>
    <mergeCell ref="J31:J32"/>
    <mergeCell ref="K31:K32"/>
    <mergeCell ref="L31:L32"/>
    <mergeCell ref="M31:M32"/>
    <mergeCell ref="N31:N32"/>
    <mergeCell ref="O31:O32"/>
    <mergeCell ref="P31:P32"/>
    <mergeCell ref="Q31:Q32"/>
    <mergeCell ref="R31:R32"/>
    <mergeCell ref="S31:S32"/>
    <mergeCell ref="AL45:AL46"/>
    <mergeCell ref="P27:P30"/>
    <mergeCell ref="B31:B32"/>
    <mergeCell ref="C31:C32"/>
    <mergeCell ref="D31:D32"/>
    <mergeCell ref="E31:E32"/>
    <mergeCell ref="F31:F32"/>
    <mergeCell ref="G31:G32"/>
    <mergeCell ref="H31:H32"/>
    <mergeCell ref="I31:I32"/>
    <mergeCell ref="R18:R26"/>
    <mergeCell ref="C18:C26"/>
    <mergeCell ref="B27:B30"/>
    <mergeCell ref="C27:C30"/>
    <mergeCell ref="D27:D30"/>
    <mergeCell ref="E27:E30"/>
    <mergeCell ref="F27:F30"/>
    <mergeCell ref="G27:G30"/>
    <mergeCell ref="H27:H30"/>
    <mergeCell ref="I27:I30"/>
    <mergeCell ref="J27:J30"/>
    <mergeCell ref="K27:K30"/>
    <mergeCell ref="L27:L30"/>
    <mergeCell ref="M27:M30"/>
    <mergeCell ref="N27:N30"/>
    <mergeCell ref="O27:O30"/>
    <mergeCell ref="Q27:Q30"/>
    <mergeCell ref="AL161:AL163"/>
    <mergeCell ref="AL169:AL170"/>
    <mergeCell ref="AL171:AL173"/>
    <mergeCell ref="C142:C146"/>
    <mergeCell ref="C13:C15"/>
    <mergeCell ref="B18:B26"/>
    <mergeCell ref="D18:D26"/>
    <mergeCell ref="E18:E26"/>
    <mergeCell ref="F18:F26"/>
    <mergeCell ref="G18:G26"/>
    <mergeCell ref="H18:H26"/>
    <mergeCell ref="I18:I26"/>
    <mergeCell ref="J18:J26"/>
    <mergeCell ref="K18:K26"/>
    <mergeCell ref="L18:L26"/>
    <mergeCell ref="M18:M26"/>
    <mergeCell ref="N18:N26"/>
    <mergeCell ref="O18:O26"/>
    <mergeCell ref="P18:P26"/>
    <mergeCell ref="Q18:Q26"/>
    <mergeCell ref="AL75:AL76"/>
    <mergeCell ref="AL81:AL82"/>
    <mergeCell ref="AL79:AL80"/>
    <mergeCell ref="AL135:AL136"/>
    <mergeCell ref="AL124:AL125"/>
    <mergeCell ref="AL110:AL111"/>
    <mergeCell ref="AL154:AL155"/>
    <mergeCell ref="T48:T50"/>
    <mergeCell ref="U48:U50"/>
    <mergeCell ref="T97:T98"/>
    <mergeCell ref="U97:U98"/>
    <mergeCell ref="U95:U96"/>
    <mergeCell ref="T95:T96"/>
    <mergeCell ref="T122:T123"/>
    <mergeCell ref="U122:U123"/>
    <mergeCell ref="U124:U125"/>
    <mergeCell ref="T124:T125"/>
    <mergeCell ref="T126:T127"/>
    <mergeCell ref="U126:U127"/>
    <mergeCell ref="AL102:AL103"/>
    <mergeCell ref="AL129:AL131"/>
    <mergeCell ref="AL132:AL133"/>
    <mergeCell ref="AL48:AL50"/>
    <mergeCell ref="AL51:AL54"/>
    <mergeCell ref="AL119:AL120"/>
    <mergeCell ref="T56:T57"/>
    <mergeCell ref="U56:U57"/>
    <mergeCell ref="K45:K46"/>
    <mergeCell ref="L45:L46"/>
    <mergeCell ref="K48:K50"/>
    <mergeCell ref="L48:L50"/>
    <mergeCell ref="M48:M50"/>
    <mergeCell ref="N48:N50"/>
    <mergeCell ref="O48:O50"/>
    <mergeCell ref="P48:P50"/>
    <mergeCell ref="Q48:Q50"/>
    <mergeCell ref="B48:B50"/>
    <mergeCell ref="D48:D50"/>
    <mergeCell ref="E48:E50"/>
    <mergeCell ref="F48:F50"/>
    <mergeCell ref="G48:G50"/>
    <mergeCell ref="H48:H50"/>
    <mergeCell ref="I48:I50"/>
    <mergeCell ref="J48:J50"/>
    <mergeCell ref="B45:B46"/>
    <mergeCell ref="E45:E46"/>
    <mergeCell ref="F45:F46"/>
    <mergeCell ref="G45:G46"/>
    <mergeCell ref="H45:H46"/>
    <mergeCell ref="I45:I46"/>
    <mergeCell ref="J45:J46"/>
    <mergeCell ref="AL34:AL35"/>
    <mergeCell ref="H38:H39"/>
    <mergeCell ref="I38:I39"/>
    <mergeCell ref="D45:D46"/>
    <mergeCell ref="R45:R46"/>
    <mergeCell ref="D38:D39"/>
    <mergeCell ref="AL38:AL39"/>
    <mergeCell ref="B41:B43"/>
    <mergeCell ref="E41:E43"/>
    <mergeCell ref="F41:F43"/>
    <mergeCell ref="G41:G43"/>
    <mergeCell ref="D41:D43"/>
    <mergeCell ref="H41:H43"/>
    <mergeCell ref="I41:I43"/>
    <mergeCell ref="J41:J43"/>
    <mergeCell ref="K41:K43"/>
    <mergeCell ref="L41:L43"/>
    <mergeCell ref="M41:M43"/>
    <mergeCell ref="N41:N43"/>
    <mergeCell ref="O41:O43"/>
    <mergeCell ref="P41:P43"/>
    <mergeCell ref="Q41:Q43"/>
    <mergeCell ref="M45:M46"/>
    <mergeCell ref="N45:N46"/>
    <mergeCell ref="AL41:AL43"/>
    <mergeCell ref="E38:E39"/>
    <mergeCell ref="F38:F39"/>
    <mergeCell ref="G38:G39"/>
    <mergeCell ref="U38:U39"/>
    <mergeCell ref="T38:T39"/>
    <mergeCell ref="S38:S39"/>
    <mergeCell ref="R38:R39"/>
    <mergeCell ref="Q38:Q39"/>
    <mergeCell ref="P38:P39"/>
    <mergeCell ref="O38:O39"/>
    <mergeCell ref="N38:N39"/>
    <mergeCell ref="M38:M39"/>
    <mergeCell ref="L38:L39"/>
    <mergeCell ref="K38:K39"/>
    <mergeCell ref="J38:J39"/>
    <mergeCell ref="T16:T17"/>
    <mergeCell ref="AM27:AM30"/>
    <mergeCell ref="AM31:AM32"/>
    <mergeCell ref="AM34:AM35"/>
    <mergeCell ref="AR7:AR8"/>
    <mergeCell ref="J7:J8"/>
    <mergeCell ref="B6:M6"/>
    <mergeCell ref="V6:AE6"/>
    <mergeCell ref="AF6:AM6"/>
    <mergeCell ref="AN6:AS6"/>
    <mergeCell ref="B7:B8"/>
    <mergeCell ref="C7:C8"/>
    <mergeCell ref="D7:D8"/>
    <mergeCell ref="E7:E8"/>
    <mergeCell ref="F7:F8"/>
    <mergeCell ref="G7:G8"/>
    <mergeCell ref="N6:U6"/>
    <mergeCell ref="N7:N8"/>
    <mergeCell ref="AH7:AI8"/>
    <mergeCell ref="AS7:AS8"/>
    <mergeCell ref="AN7:AN8"/>
    <mergeCell ref="AP7:AP8"/>
    <mergeCell ref="E34:E35"/>
    <mergeCell ref="F34:F35"/>
    <mergeCell ref="G13:G15"/>
    <mergeCell ref="N16:N17"/>
    <mergeCell ref="M16:M17"/>
    <mergeCell ref="AO7:AO8"/>
    <mergeCell ref="AF7:AG8"/>
    <mergeCell ref="AL7:AL8"/>
    <mergeCell ref="AM7:AM8"/>
    <mergeCell ref="I7:I8"/>
    <mergeCell ref="K7:K8"/>
    <mergeCell ref="L7:L8"/>
    <mergeCell ref="M7:M8"/>
    <mergeCell ref="O7:P8"/>
    <mergeCell ref="Q7:S8"/>
    <mergeCell ref="AJ7:AJ8"/>
    <mergeCell ref="AK7:AK8"/>
    <mergeCell ref="H7:H8"/>
    <mergeCell ref="AL13:AL15"/>
    <mergeCell ref="AL16:AL17"/>
    <mergeCell ref="H13:H15"/>
    <mergeCell ref="I13:I15"/>
    <mergeCell ref="J13:J15"/>
    <mergeCell ref="L13:L15"/>
    <mergeCell ref="U16:U17"/>
    <mergeCell ref="S16:S17"/>
    <mergeCell ref="R13:R15"/>
    <mergeCell ref="B16:B17"/>
    <mergeCell ref="I16:I17"/>
    <mergeCell ref="J16:J17"/>
    <mergeCell ref="K16:K17"/>
    <mergeCell ref="L16:L17"/>
    <mergeCell ref="F16:F17"/>
    <mergeCell ref="G16:G17"/>
    <mergeCell ref="H16:H17"/>
    <mergeCell ref="O16:O17"/>
    <mergeCell ref="P16:P17"/>
    <mergeCell ref="Q16:Q17"/>
    <mergeCell ref="R16:R17"/>
    <mergeCell ref="M13:M15"/>
    <mergeCell ref="N13:N15"/>
    <mergeCell ref="O13:O15"/>
    <mergeCell ref="B13:B15"/>
    <mergeCell ref="D13:D15"/>
    <mergeCell ref="E13:E15"/>
    <mergeCell ref="F13:F15"/>
    <mergeCell ref="K13:K15"/>
    <mergeCell ref="E16:E17"/>
    <mergeCell ref="P13:P15"/>
    <mergeCell ref="Q13:Q15"/>
    <mergeCell ref="T51:T54"/>
    <mergeCell ref="U51:U54"/>
    <mergeCell ref="O51:O54"/>
    <mergeCell ref="P51:P54"/>
    <mergeCell ref="U34:U35"/>
    <mergeCell ref="P45:P46"/>
    <mergeCell ref="Q45:Q46"/>
    <mergeCell ref="O34:O35"/>
    <mergeCell ref="P34:P35"/>
    <mergeCell ref="Q34:Q35"/>
    <mergeCell ref="R34:R35"/>
    <mergeCell ref="S34:S35"/>
    <mergeCell ref="T34:T35"/>
    <mergeCell ref="R41:R43"/>
    <mergeCell ref="S41:S43"/>
    <mergeCell ref="T41:T43"/>
    <mergeCell ref="U41:U43"/>
    <mergeCell ref="O45:O46"/>
    <mergeCell ref="S45:S46"/>
    <mergeCell ref="T45:T46"/>
    <mergeCell ref="U45:U46"/>
    <mergeCell ref="R48:R50"/>
    <mergeCell ref="S48:S50"/>
    <mergeCell ref="B34:B35"/>
    <mergeCell ref="E51:E54"/>
    <mergeCell ref="I51:I54"/>
    <mergeCell ref="J51:J54"/>
    <mergeCell ref="K51:K54"/>
    <mergeCell ref="L51:L54"/>
    <mergeCell ref="M51:M54"/>
    <mergeCell ref="N51:N54"/>
    <mergeCell ref="F51:F54"/>
    <mergeCell ref="G51:G54"/>
    <mergeCell ref="D34:D35"/>
    <mergeCell ref="H34:H35"/>
    <mergeCell ref="I34:I35"/>
    <mergeCell ref="J34:J35"/>
    <mergeCell ref="B51:B54"/>
    <mergeCell ref="D51:D54"/>
    <mergeCell ref="H51:H54"/>
    <mergeCell ref="C38:C39"/>
    <mergeCell ref="B38:B39"/>
    <mergeCell ref="N34:N35"/>
    <mergeCell ref="K34:K35"/>
    <mergeCell ref="L34:L35"/>
    <mergeCell ref="M34:M35"/>
    <mergeCell ref="G34:G35"/>
    <mergeCell ref="P75:P76"/>
    <mergeCell ref="Q75:Q76"/>
    <mergeCell ref="R75:R76"/>
    <mergeCell ref="D75:D76"/>
    <mergeCell ref="B75:B76"/>
    <mergeCell ref="E75:E76"/>
    <mergeCell ref="F75:F76"/>
    <mergeCell ref="G75:G76"/>
    <mergeCell ref="H75:H76"/>
    <mergeCell ref="I75:I76"/>
    <mergeCell ref="J75:J76"/>
    <mergeCell ref="K75:K76"/>
    <mergeCell ref="J81:J82"/>
    <mergeCell ref="K81:K82"/>
    <mergeCell ref="L81:L82"/>
    <mergeCell ref="L75:L76"/>
    <mergeCell ref="M75:M76"/>
    <mergeCell ref="C75:C76"/>
    <mergeCell ref="N75:N76"/>
    <mergeCell ref="O75:O76"/>
    <mergeCell ref="M81:M82"/>
    <mergeCell ref="N79:N80"/>
    <mergeCell ref="N81:N82"/>
    <mergeCell ref="S75:S76"/>
    <mergeCell ref="T75:T76"/>
    <mergeCell ref="U75:U76"/>
    <mergeCell ref="D79:D80"/>
    <mergeCell ref="D81:D82"/>
    <mergeCell ref="E79:E80"/>
    <mergeCell ref="F79:F80"/>
    <mergeCell ref="G79:G80"/>
    <mergeCell ref="E81:E82"/>
    <mergeCell ref="F81:F82"/>
    <mergeCell ref="G81:G82"/>
    <mergeCell ref="H79:H80"/>
    <mergeCell ref="I79:I80"/>
    <mergeCell ref="J79:J80"/>
    <mergeCell ref="K79:K80"/>
    <mergeCell ref="L79:L80"/>
    <mergeCell ref="M79:M80"/>
    <mergeCell ref="H81:H82"/>
    <mergeCell ref="I81:I82"/>
    <mergeCell ref="O79:O80"/>
    <mergeCell ref="P79:P80"/>
    <mergeCell ref="Q79:Q80"/>
    <mergeCell ref="R79:R80"/>
    <mergeCell ref="S79:S80"/>
    <mergeCell ref="T79:T80"/>
    <mergeCell ref="U79:U80"/>
    <mergeCell ref="O81:O82"/>
    <mergeCell ref="P81:P82"/>
    <mergeCell ref="Q81:Q82"/>
    <mergeCell ref="R81:R82"/>
    <mergeCell ref="S81:S82"/>
    <mergeCell ref="T81:T82"/>
    <mergeCell ref="U81:U82"/>
    <mergeCell ref="E95:E96"/>
    <mergeCell ref="F95:F96"/>
    <mergeCell ref="G95:G96"/>
    <mergeCell ref="E97:E98"/>
    <mergeCell ref="F97:F98"/>
    <mergeCell ref="G97:G98"/>
    <mergeCell ref="E102:E103"/>
    <mergeCell ref="F102:F103"/>
    <mergeCell ref="G102:G103"/>
    <mergeCell ref="L95:L96"/>
    <mergeCell ref="L97:L98"/>
    <mergeCell ref="L102:L103"/>
    <mergeCell ref="H95:H96"/>
    <mergeCell ref="I95:I96"/>
    <mergeCell ref="J95:J96"/>
    <mergeCell ref="K95:K96"/>
    <mergeCell ref="H97:H98"/>
    <mergeCell ref="I97:I98"/>
    <mergeCell ref="J97:J98"/>
    <mergeCell ref="K97:K98"/>
    <mergeCell ref="H102:H103"/>
    <mergeCell ref="I102:I103"/>
    <mergeCell ref="J102:J103"/>
    <mergeCell ref="K102:K103"/>
    <mergeCell ref="B95:B96"/>
    <mergeCell ref="C95:C96"/>
    <mergeCell ref="B97:B98"/>
    <mergeCell ref="C97:C98"/>
    <mergeCell ref="C102:C103"/>
    <mergeCell ref="B102:B103"/>
    <mergeCell ref="D95:D96"/>
    <mergeCell ref="D97:D98"/>
    <mergeCell ref="D102:D103"/>
    <mergeCell ref="M102:M103"/>
    <mergeCell ref="N102:N103"/>
    <mergeCell ref="O102:O103"/>
    <mergeCell ref="P102:P103"/>
    <mergeCell ref="Q102:Q103"/>
    <mergeCell ref="R102:R103"/>
    <mergeCell ref="S102:S103"/>
    <mergeCell ref="T102:T103"/>
    <mergeCell ref="U102:U103"/>
    <mergeCell ref="N95:N96"/>
    <mergeCell ref="N97:N98"/>
    <mergeCell ref="M95:M96"/>
    <mergeCell ref="M97:M98"/>
    <mergeCell ref="O95:O96"/>
    <mergeCell ref="P95:P96"/>
    <mergeCell ref="Q95:Q96"/>
    <mergeCell ref="R95:R96"/>
    <mergeCell ref="S95:S96"/>
    <mergeCell ref="O97:O98"/>
    <mergeCell ref="P97:P98"/>
    <mergeCell ref="Q97:Q98"/>
    <mergeCell ref="R97:R98"/>
    <mergeCell ref="S97:S98"/>
    <mergeCell ref="D106:D107"/>
    <mergeCell ref="D110:D111"/>
    <mergeCell ref="B106:B107"/>
    <mergeCell ref="C106:C107"/>
    <mergeCell ref="B110:B111"/>
    <mergeCell ref="C110:C111"/>
    <mergeCell ref="E106:E107"/>
    <mergeCell ref="F106:F107"/>
    <mergeCell ref="G106:G107"/>
    <mergeCell ref="E110:E111"/>
    <mergeCell ref="F110:F111"/>
    <mergeCell ref="G110:G111"/>
    <mergeCell ref="H106:H107"/>
    <mergeCell ref="I106:I107"/>
    <mergeCell ref="J106:J107"/>
    <mergeCell ref="K106:K107"/>
    <mergeCell ref="L106:L107"/>
    <mergeCell ref="M106:M107"/>
    <mergeCell ref="N106:N107"/>
    <mergeCell ref="O106:O107"/>
    <mergeCell ref="P106:P107"/>
    <mergeCell ref="Q106:Q107"/>
    <mergeCell ref="R106:R107"/>
    <mergeCell ref="S106:S107"/>
    <mergeCell ref="N110:N111"/>
    <mergeCell ref="T106:T107"/>
    <mergeCell ref="U106:U107"/>
    <mergeCell ref="O110:O111"/>
    <mergeCell ref="P110:P111"/>
    <mergeCell ref="Q110:Q111"/>
    <mergeCell ref="R110:R111"/>
    <mergeCell ref="S110:S111"/>
    <mergeCell ref="T110:T111"/>
    <mergeCell ref="U110:U111"/>
    <mergeCell ref="H110:H111"/>
    <mergeCell ref="I110:I111"/>
    <mergeCell ref="J110:J111"/>
    <mergeCell ref="K110:K111"/>
    <mergeCell ref="L110:L111"/>
    <mergeCell ref="M110:M111"/>
    <mergeCell ref="D119:D120"/>
    <mergeCell ref="E119:E120"/>
    <mergeCell ref="F119:F120"/>
    <mergeCell ref="G119:G120"/>
    <mergeCell ref="N119:N120"/>
    <mergeCell ref="H119:H120"/>
    <mergeCell ref="I119:I120"/>
    <mergeCell ref="J119:J120"/>
    <mergeCell ref="K119:K120"/>
    <mergeCell ref="L119:L120"/>
    <mergeCell ref="M119:M120"/>
    <mergeCell ref="B119:B120"/>
    <mergeCell ref="O119:O120"/>
    <mergeCell ref="P119:P120"/>
    <mergeCell ref="Q119:Q120"/>
    <mergeCell ref="R119:R120"/>
    <mergeCell ref="S119:S120"/>
    <mergeCell ref="T119:T120"/>
    <mergeCell ref="U119:U120"/>
    <mergeCell ref="D122:D123"/>
    <mergeCell ref="D124:D125"/>
    <mergeCell ref="D126:D127"/>
    <mergeCell ref="E122:E123"/>
    <mergeCell ref="F122:F123"/>
    <mergeCell ref="G122:G123"/>
    <mergeCell ref="E124:E125"/>
    <mergeCell ref="F124:F125"/>
    <mergeCell ref="G124:G125"/>
    <mergeCell ref="E126:E127"/>
    <mergeCell ref="F126:F127"/>
    <mergeCell ref="G126:G127"/>
    <mergeCell ref="O122:O123"/>
    <mergeCell ref="P122:P123"/>
    <mergeCell ref="Q122:Q123"/>
    <mergeCell ref="R122:R123"/>
    <mergeCell ref="S122:S123"/>
    <mergeCell ref="S124:S125"/>
    <mergeCell ref="B122:B123"/>
    <mergeCell ref="B124:B125"/>
    <mergeCell ref="B126:B127"/>
    <mergeCell ref="L122:L123"/>
    <mergeCell ref="N122:N123"/>
    <mergeCell ref="N124:N125"/>
    <mergeCell ref="N126:N127"/>
    <mergeCell ref="H122:H123"/>
    <mergeCell ref="I122:I123"/>
    <mergeCell ref="J122:J123"/>
    <mergeCell ref="K122:K123"/>
    <mergeCell ref="M122:M123"/>
    <mergeCell ref="M124:M125"/>
    <mergeCell ref="L124:L125"/>
    <mergeCell ref="K124:K125"/>
    <mergeCell ref="J124:J125"/>
    <mergeCell ref="I124:I125"/>
    <mergeCell ref="H124:H125"/>
    <mergeCell ref="L126:L127"/>
    <mergeCell ref="H126:H127"/>
    <mergeCell ref="I126:I127"/>
    <mergeCell ref="J126:J127"/>
    <mergeCell ref="R124:R125"/>
    <mergeCell ref="Q124:Q125"/>
    <mergeCell ref="P124:P125"/>
    <mergeCell ref="O124:O125"/>
    <mergeCell ref="K126:K127"/>
    <mergeCell ref="M126:M127"/>
    <mergeCell ref="O126:O127"/>
    <mergeCell ref="P126:P127"/>
    <mergeCell ref="Q126:Q127"/>
    <mergeCell ref="R126:R127"/>
    <mergeCell ref="S126:S127"/>
    <mergeCell ref="M135:M136"/>
    <mergeCell ref="N135:N136"/>
    <mergeCell ref="H142:H146"/>
    <mergeCell ref="I142:I146"/>
    <mergeCell ref="J142:J146"/>
    <mergeCell ref="K142:K146"/>
    <mergeCell ref="L142:L146"/>
    <mergeCell ref="M142:M146"/>
    <mergeCell ref="N142:N146"/>
    <mergeCell ref="H135:H136"/>
    <mergeCell ref="I135:I136"/>
    <mergeCell ref="J135:J136"/>
    <mergeCell ref="J138:J139"/>
    <mergeCell ref="K138:K139"/>
    <mergeCell ref="O129:O131"/>
    <mergeCell ref="O132:O133"/>
    <mergeCell ref="O135:O136"/>
    <mergeCell ref="M138:M139"/>
    <mergeCell ref="N138:N139"/>
    <mergeCell ref="O138:O139"/>
    <mergeCell ref="J129:J131"/>
    <mergeCell ref="K129:K131"/>
    <mergeCell ref="L129:L131"/>
    <mergeCell ref="D129:D131"/>
    <mergeCell ref="E129:E131"/>
    <mergeCell ref="F129:F131"/>
    <mergeCell ref="G129:G131"/>
    <mergeCell ref="H129:H131"/>
    <mergeCell ref="I129:I131"/>
    <mergeCell ref="H132:H133"/>
    <mergeCell ref="I132:I133"/>
    <mergeCell ref="E132:E133"/>
    <mergeCell ref="F132:F133"/>
    <mergeCell ref="G132:G133"/>
    <mergeCell ref="D132:D133"/>
    <mergeCell ref="D135:D136"/>
    <mergeCell ref="D142:D146"/>
    <mergeCell ref="K135:K136"/>
    <mergeCell ref="L135:L136"/>
    <mergeCell ref="E142:E146"/>
    <mergeCell ref="F142:F146"/>
    <mergeCell ref="G142:G146"/>
    <mergeCell ref="E135:E136"/>
    <mergeCell ref="F135:F136"/>
    <mergeCell ref="G135:G136"/>
    <mergeCell ref="D138:D139"/>
    <mergeCell ref="L138:L139"/>
    <mergeCell ref="N129:N131"/>
    <mergeCell ref="J132:J133"/>
    <mergeCell ref="K132:K133"/>
    <mergeCell ref="L132:L133"/>
    <mergeCell ref="M132:M133"/>
    <mergeCell ref="N132:N133"/>
    <mergeCell ref="E138:E139"/>
    <mergeCell ref="F138:F139"/>
    <mergeCell ref="G138:G139"/>
    <mergeCell ref="H138:H139"/>
    <mergeCell ref="I138:I139"/>
    <mergeCell ref="B129:B131"/>
    <mergeCell ref="B138:B139"/>
    <mergeCell ref="B132:B133"/>
    <mergeCell ref="B135:B136"/>
    <mergeCell ref="B142:B146"/>
    <mergeCell ref="B147:B148"/>
    <mergeCell ref="P129:P131"/>
    <mergeCell ref="Q129:Q131"/>
    <mergeCell ref="R129:R131"/>
    <mergeCell ref="P135:P136"/>
    <mergeCell ref="Q135:Q136"/>
    <mergeCell ref="R135:R136"/>
    <mergeCell ref="P142:P146"/>
    <mergeCell ref="Q142:Q146"/>
    <mergeCell ref="R142:R146"/>
    <mergeCell ref="O142:O146"/>
    <mergeCell ref="D147:D148"/>
    <mergeCell ref="E147:E148"/>
    <mergeCell ref="F147:F148"/>
    <mergeCell ref="G147:G148"/>
    <mergeCell ref="H147:H148"/>
    <mergeCell ref="I147:I148"/>
    <mergeCell ref="J147:J148"/>
    <mergeCell ref="M129:M131"/>
    <mergeCell ref="S129:S131"/>
    <mergeCell ref="T129:T131"/>
    <mergeCell ref="U129:U131"/>
    <mergeCell ref="U132:U133"/>
    <mergeCell ref="T132:T133"/>
    <mergeCell ref="S132:S133"/>
    <mergeCell ref="R132:R133"/>
    <mergeCell ref="Q132:Q133"/>
    <mergeCell ref="P132:P133"/>
    <mergeCell ref="S135:S136"/>
    <mergeCell ref="T135:T136"/>
    <mergeCell ref="U135:U136"/>
    <mergeCell ref="P138:P139"/>
    <mergeCell ref="Q138:Q139"/>
    <mergeCell ref="R138:R139"/>
    <mergeCell ref="S138:S139"/>
    <mergeCell ref="T138:T139"/>
    <mergeCell ref="U138:U139"/>
    <mergeCell ref="M147:M148"/>
    <mergeCell ref="N147:N148"/>
    <mergeCell ref="O147:O148"/>
    <mergeCell ref="R154:R155"/>
    <mergeCell ref="S154:S155"/>
    <mergeCell ref="T154:T155"/>
    <mergeCell ref="U154:U155"/>
    <mergeCell ref="K147:K148"/>
    <mergeCell ref="L147:L148"/>
    <mergeCell ref="S142:S146"/>
    <mergeCell ref="T142:T146"/>
    <mergeCell ref="U142:U146"/>
    <mergeCell ref="Q147:Q148"/>
    <mergeCell ref="R147:R148"/>
    <mergeCell ref="S147:S148"/>
    <mergeCell ref="T147:T148"/>
    <mergeCell ref="U147:U148"/>
    <mergeCell ref="P147:P148"/>
    <mergeCell ref="L171:L173"/>
    <mergeCell ref="M171:M173"/>
    <mergeCell ref="L154:L155"/>
    <mergeCell ref="M154:M155"/>
    <mergeCell ref="N154:N155"/>
    <mergeCell ref="D161:D163"/>
    <mergeCell ref="E161:E163"/>
    <mergeCell ref="F161:F163"/>
    <mergeCell ref="G161:G163"/>
    <mergeCell ref="H161:H163"/>
    <mergeCell ref="I161:I163"/>
    <mergeCell ref="J161:J163"/>
    <mergeCell ref="K161:K163"/>
    <mergeCell ref="L161:L163"/>
    <mergeCell ref="M161:M163"/>
    <mergeCell ref="N161:N163"/>
    <mergeCell ref="D154:D155"/>
    <mergeCell ref="E154:E155"/>
    <mergeCell ref="F154:F155"/>
    <mergeCell ref="G154:G155"/>
    <mergeCell ref="H154:H155"/>
    <mergeCell ref="I154:I155"/>
    <mergeCell ref="J154:J155"/>
    <mergeCell ref="K154:K155"/>
    <mergeCell ref="Q169:Q170"/>
    <mergeCell ref="R169:R170"/>
    <mergeCell ref="S169:S170"/>
    <mergeCell ref="T169:T170"/>
    <mergeCell ref="L169:L170"/>
    <mergeCell ref="M169:M170"/>
    <mergeCell ref="N169:N170"/>
    <mergeCell ref="N171:N173"/>
    <mergeCell ref="D169:D170"/>
    <mergeCell ref="D171:D173"/>
    <mergeCell ref="E169:E170"/>
    <mergeCell ref="F169:F170"/>
    <mergeCell ref="G169:G170"/>
    <mergeCell ref="H169:H170"/>
    <mergeCell ref="I169:I170"/>
    <mergeCell ref="J169:J170"/>
    <mergeCell ref="K169:K170"/>
    <mergeCell ref="E171:E173"/>
    <mergeCell ref="F171:F173"/>
    <mergeCell ref="G171:G173"/>
    <mergeCell ref="H171:H173"/>
    <mergeCell ref="I171:I173"/>
    <mergeCell ref="J171:J173"/>
    <mergeCell ref="K171:K173"/>
    <mergeCell ref="B169:B170"/>
    <mergeCell ref="B171:B173"/>
    <mergeCell ref="B161:B163"/>
    <mergeCell ref="B154:B155"/>
    <mergeCell ref="U161:U163"/>
    <mergeCell ref="T161:T163"/>
    <mergeCell ref="S161:S163"/>
    <mergeCell ref="R161:R163"/>
    <mergeCell ref="Q161:Q163"/>
    <mergeCell ref="P161:P163"/>
    <mergeCell ref="O161:O163"/>
    <mergeCell ref="O171:O173"/>
    <mergeCell ref="P171:P173"/>
    <mergeCell ref="Q171:Q173"/>
    <mergeCell ref="R171:R173"/>
    <mergeCell ref="S171:S173"/>
    <mergeCell ref="T171:T173"/>
    <mergeCell ref="U171:U173"/>
    <mergeCell ref="U169:U170"/>
    <mergeCell ref="O169:O170"/>
    <mergeCell ref="P169:P170"/>
    <mergeCell ref="O154:O155"/>
    <mergeCell ref="P154:P155"/>
    <mergeCell ref="Q154:Q155"/>
  </mergeCells>
  <phoneticPr fontId="21" type="noConversion"/>
  <conditionalFormatting sqref="O9:O13 O31:O34 O36:O38 O40:O41 O44:O45 O51:O75 O77:O79 O81 O83:O95 O101 O156:O161 O164:O169">
    <cfRule type="containsText" dxfId="94" priority="915" operator="containsText" text="Muy baja">
      <formula>NOT(ISERROR(SEARCH("Muy baja",O9)))</formula>
    </cfRule>
    <cfRule type="containsText" dxfId="93" priority="916" operator="containsText" text="Baja">
      <formula>NOT(ISERROR(SEARCH("Baja",O9)))</formula>
    </cfRule>
    <cfRule type="containsText" dxfId="92" priority="917" operator="containsText" text="Media">
      <formula>NOT(ISERROR(SEARCH("Media",O9)))</formula>
    </cfRule>
    <cfRule type="containsText" dxfId="91" priority="918" operator="containsText" text="Alta">
      <formula>NOT(ISERROR(SEARCH("Alta",O9)))</formula>
    </cfRule>
  </conditionalFormatting>
  <conditionalFormatting sqref="O16:O25">
    <cfRule type="containsText" dxfId="90" priority="35" operator="containsText" text="Muy Alta">
      <formula>NOT(ISERROR(SEARCH("Muy Alta",O16)))</formula>
    </cfRule>
    <cfRule type="containsText" dxfId="89" priority="36" operator="containsText" text="Muy baja">
      <formula>NOT(ISERROR(SEARCH("Muy baja",O16)))</formula>
    </cfRule>
    <cfRule type="containsText" dxfId="88" priority="37" operator="containsText" text="Baja">
      <formula>NOT(ISERROR(SEARCH("Baja",O16)))</formula>
    </cfRule>
    <cfRule type="containsText" dxfId="87" priority="38" operator="containsText" text="Media">
      <formula>NOT(ISERROR(SEARCH("Media",O16)))</formula>
    </cfRule>
    <cfRule type="containsText" dxfId="86" priority="39" operator="containsText" text="Alta">
      <formula>NOT(ISERROR(SEARCH("Alta",O16)))</formula>
    </cfRule>
  </conditionalFormatting>
  <conditionalFormatting sqref="O27:O29">
    <cfRule type="containsText" dxfId="85" priority="25" operator="containsText" text="Muy Alta">
      <formula>NOT(ISERROR(SEARCH("Muy Alta",O27)))</formula>
    </cfRule>
    <cfRule type="containsText" dxfId="84" priority="26" operator="containsText" text="Muy baja">
      <formula>NOT(ISERROR(SEARCH("Muy baja",O27)))</formula>
    </cfRule>
    <cfRule type="containsText" dxfId="83" priority="27" operator="containsText" text="Baja">
      <formula>NOT(ISERROR(SEARCH("Baja",O27)))</formula>
    </cfRule>
    <cfRule type="containsText" dxfId="82" priority="28" operator="containsText" text="Media">
      <formula>NOT(ISERROR(SEARCH("Media",O27)))</formula>
    </cfRule>
    <cfRule type="containsText" dxfId="81" priority="29" operator="containsText" text="Alta">
      <formula>NOT(ISERROR(SEARCH("Alta",O27)))</formula>
    </cfRule>
  </conditionalFormatting>
  <conditionalFormatting sqref="O47:O49">
    <cfRule type="containsText" dxfId="80" priority="666" operator="containsText" text="Muy Alta">
      <formula>NOT(ISERROR(SEARCH("Muy Alta",O47)))</formula>
    </cfRule>
    <cfRule type="containsText" dxfId="79" priority="667" operator="containsText" text="Muy baja">
      <formula>NOT(ISERROR(SEARCH("Muy baja",O47)))</formula>
    </cfRule>
    <cfRule type="containsText" dxfId="78" priority="668" operator="containsText" text="Baja">
      <formula>NOT(ISERROR(SEARCH("Baja",O47)))</formula>
    </cfRule>
    <cfRule type="containsText" dxfId="77" priority="669" operator="containsText" text="Media">
      <formula>NOT(ISERROR(SEARCH("Media",O47)))</formula>
    </cfRule>
    <cfRule type="containsText" dxfId="76" priority="670" operator="containsText" text="Alta">
      <formula>NOT(ISERROR(SEARCH("Alta",O47)))</formula>
    </cfRule>
  </conditionalFormatting>
  <conditionalFormatting sqref="O97 O99:O102 O104:O106 O108:O110 O112:O119 O121:O122 O124 O126 O128:O129 O132 O134:O135 O137:O138 O140:O142 O147 O149:O154 O171">
    <cfRule type="containsText" dxfId="75" priority="609" operator="containsText" text="Muy Alta">
      <formula>NOT(ISERROR(SEARCH("Muy Alta",O97)))</formula>
    </cfRule>
    <cfRule type="containsText" dxfId="74" priority="610" operator="containsText" text="Muy baja">
      <formula>NOT(ISERROR(SEARCH("Muy baja",O97)))</formula>
    </cfRule>
    <cfRule type="containsText" dxfId="73" priority="611" operator="containsText" text="Baja">
      <formula>NOT(ISERROR(SEARCH("Baja",O97)))</formula>
    </cfRule>
    <cfRule type="containsText" dxfId="72" priority="612" operator="containsText" text="Media">
      <formula>NOT(ISERROR(SEARCH("Media",O97)))</formula>
    </cfRule>
    <cfRule type="containsText" dxfId="71" priority="613" operator="containsText" text="Alta">
      <formula>NOT(ISERROR(SEARCH("Alta",O97)))</formula>
    </cfRule>
  </conditionalFormatting>
  <conditionalFormatting sqref="O101 O9:O13 O31:O34 O36:O38 O40:O41 O44:O45 O51:O75 O77:O79 O81 O83:O95 O156:O161 O164:O169">
    <cfRule type="containsText" dxfId="70" priority="914" operator="containsText" text="Muy Alta">
      <formula>NOT(ISERROR(SEARCH("Muy Alta",O9)))</formula>
    </cfRule>
  </conditionalFormatting>
  <conditionalFormatting sqref="O174">
    <cfRule type="containsText" dxfId="69" priority="45" operator="containsText" text="Muy Alta">
      <formula>NOT(ISERROR(SEARCH("Muy Alta",O174)))</formula>
    </cfRule>
    <cfRule type="containsText" dxfId="68" priority="46" operator="containsText" text="Muy baja">
      <formula>NOT(ISERROR(SEARCH("Muy baja",O174)))</formula>
    </cfRule>
    <cfRule type="containsText" dxfId="67" priority="47" operator="containsText" text="Baja">
      <formula>NOT(ISERROR(SEARCH("Baja",O174)))</formula>
    </cfRule>
    <cfRule type="containsText" dxfId="66" priority="48" operator="containsText" text="Media">
      <formula>NOT(ISERROR(SEARCH("Media",O174)))</formula>
    </cfRule>
    <cfRule type="containsText" dxfId="65" priority="49" operator="containsText" text="Alta">
      <formula>NOT(ISERROR(SEARCH("Alta",O174)))</formula>
    </cfRule>
  </conditionalFormatting>
  <conditionalFormatting sqref="R9:R13 R31:R34 R36:R38 R40:R41 R44:R45 R51:R75 R77:R79 R81 R83:R95 R101 R156:R161 R164:R169">
    <cfRule type="containsText" dxfId="64" priority="920" operator="containsText" text="Leve">
      <formula>NOT(ISERROR(SEARCH("Leve",R9)))</formula>
    </cfRule>
    <cfRule type="containsText" dxfId="63" priority="921" operator="containsText" text="Menor">
      <formula>NOT(ISERROR(SEARCH("Menor",R9)))</formula>
    </cfRule>
    <cfRule type="containsText" dxfId="62" priority="922" operator="containsText" text="Moderado">
      <formula>NOT(ISERROR(SEARCH("Moderado",R9)))</formula>
    </cfRule>
    <cfRule type="containsText" dxfId="61" priority="923" operator="containsText" text="Mayor">
      <formula>NOT(ISERROR(SEARCH("Mayor",R9)))</formula>
    </cfRule>
  </conditionalFormatting>
  <conditionalFormatting sqref="R16:R25">
    <cfRule type="containsText" dxfId="60" priority="40" operator="containsText" text="Catastrófico">
      <formula>NOT(ISERROR(SEARCH("Catastrófico",R16)))</formula>
    </cfRule>
    <cfRule type="containsText" dxfId="59" priority="41" operator="containsText" text="Leve">
      <formula>NOT(ISERROR(SEARCH("Leve",R16)))</formula>
    </cfRule>
    <cfRule type="containsText" dxfId="58" priority="42" operator="containsText" text="Menor">
      <formula>NOT(ISERROR(SEARCH("Menor",R16)))</formula>
    </cfRule>
    <cfRule type="containsText" dxfId="57" priority="43" operator="containsText" text="Moderado">
      <formula>NOT(ISERROR(SEARCH("Moderado",R16)))</formula>
    </cfRule>
    <cfRule type="containsText" dxfId="56" priority="44" operator="containsText" text="Mayor">
      <formula>NOT(ISERROR(SEARCH("Mayor",R16)))</formula>
    </cfRule>
  </conditionalFormatting>
  <conditionalFormatting sqref="R27:R29">
    <cfRule type="containsText" dxfId="55" priority="30" operator="containsText" text="Catastrófico">
      <formula>NOT(ISERROR(SEARCH("Catastrófico",R27)))</formula>
    </cfRule>
    <cfRule type="containsText" dxfId="54" priority="31" operator="containsText" text="Leve">
      <formula>NOT(ISERROR(SEARCH("Leve",R27)))</formula>
    </cfRule>
    <cfRule type="containsText" dxfId="53" priority="32" operator="containsText" text="Menor">
      <formula>NOT(ISERROR(SEARCH("Menor",R27)))</formula>
    </cfRule>
    <cfRule type="containsText" dxfId="52" priority="33" operator="containsText" text="Moderado">
      <formula>NOT(ISERROR(SEARCH("Moderado",R27)))</formula>
    </cfRule>
    <cfRule type="containsText" dxfId="51" priority="34" operator="containsText" text="Mayor">
      <formula>NOT(ISERROR(SEARCH("Mayor",R27)))</formula>
    </cfRule>
  </conditionalFormatting>
  <conditionalFormatting sqref="R47:R49">
    <cfRule type="containsText" dxfId="50" priority="671" operator="containsText" text="Catastrófico">
      <formula>NOT(ISERROR(SEARCH("Catastrófico",R47)))</formula>
    </cfRule>
    <cfRule type="containsText" dxfId="49" priority="672" operator="containsText" text="Leve">
      <formula>NOT(ISERROR(SEARCH("Leve",R47)))</formula>
    </cfRule>
    <cfRule type="containsText" dxfId="48" priority="673" operator="containsText" text="Menor">
      <formula>NOT(ISERROR(SEARCH("Menor",R47)))</formula>
    </cfRule>
    <cfRule type="containsText" dxfId="47" priority="674" operator="containsText" text="Moderado">
      <formula>NOT(ISERROR(SEARCH("Moderado",R47)))</formula>
    </cfRule>
    <cfRule type="containsText" dxfId="46" priority="675" operator="containsText" text="Mayor">
      <formula>NOT(ISERROR(SEARCH("Mayor",R47)))</formula>
    </cfRule>
  </conditionalFormatting>
  <conditionalFormatting sqref="R97 R99:R102 R104:R106 R108:R110 R112:R119 R121:R122 R124 R126 R128:R129 R132 R134:R135 R137:R138 R140:R142 R147 R149:R154 R171">
    <cfRule type="containsText" dxfId="45" priority="614" operator="containsText" text="Catastrófico">
      <formula>NOT(ISERROR(SEARCH("Catastrófico",R97)))</formula>
    </cfRule>
    <cfRule type="containsText" dxfId="44" priority="615" operator="containsText" text="Leve">
      <formula>NOT(ISERROR(SEARCH("Leve",R97)))</formula>
    </cfRule>
    <cfRule type="containsText" dxfId="43" priority="616" operator="containsText" text="Menor">
      <formula>NOT(ISERROR(SEARCH("Menor",R97)))</formula>
    </cfRule>
    <cfRule type="containsText" dxfId="42" priority="617" operator="containsText" text="Moderado">
      <formula>NOT(ISERROR(SEARCH("Moderado",R97)))</formula>
    </cfRule>
    <cfRule type="containsText" dxfId="41" priority="618" operator="containsText" text="Mayor">
      <formula>NOT(ISERROR(SEARCH("Mayor",R97)))</formula>
    </cfRule>
  </conditionalFormatting>
  <conditionalFormatting sqref="R101 R9:R13 R31:R34 R36:R38 R40:R41 R44:R45 R51:R75 R77:R79 R81 R83:R95 R156:R161 R164:R169">
    <cfRule type="containsText" dxfId="40" priority="919" operator="containsText" text="Catastrófico">
      <formula>NOT(ISERROR(SEARCH("Catastrófico",R9)))</formula>
    </cfRule>
  </conditionalFormatting>
  <conditionalFormatting sqref="R174">
    <cfRule type="containsText" dxfId="39" priority="50" operator="containsText" text="Catastrófico">
      <formula>NOT(ISERROR(SEARCH("Catastrófico",R174)))</formula>
    </cfRule>
    <cfRule type="containsText" dxfId="38" priority="51" operator="containsText" text="Leve">
      <formula>NOT(ISERROR(SEARCH("Leve",R174)))</formula>
    </cfRule>
    <cfRule type="containsText" dxfId="37" priority="52" operator="containsText" text="Menor">
      <formula>NOT(ISERROR(SEARCH("Menor",R174)))</formula>
    </cfRule>
    <cfRule type="containsText" dxfId="36" priority="53" operator="containsText" text="Moderado">
      <formula>NOT(ISERROR(SEARCH("Moderado",R174)))</formula>
    </cfRule>
    <cfRule type="containsText" dxfId="35" priority="54" operator="containsText" text="Mayor">
      <formula>NOT(ISERROR(SEARCH("Mayor",R174)))</formula>
    </cfRule>
  </conditionalFormatting>
  <conditionalFormatting sqref="U9:U13 U27:U29 U31:U34 U36:U38 U40:U41 U44:U45 U51:U75 U77:U79 U81 U83:U95 AK96 AK97:AL97 AK98 AK99:AL102 U101 AK149:AL161 U156:U161 U164:U169 AK164:AL171 AK9:AL95 U16:U25">
    <cfRule type="containsText" dxfId="34" priority="925" operator="containsText" text="Alto">
      <formula>NOT(ISERROR(SEARCH("Alto",U9)))</formula>
    </cfRule>
    <cfRule type="containsText" dxfId="33" priority="926" operator="containsText" text="Moderado">
      <formula>NOT(ISERROR(SEARCH("Moderado",U9)))</formula>
    </cfRule>
    <cfRule type="containsText" dxfId="32" priority="927" operator="containsText" text="Bajo">
      <formula>NOT(ISERROR(SEARCH("Bajo",U9)))</formula>
    </cfRule>
  </conditionalFormatting>
  <conditionalFormatting sqref="U47:U49">
    <cfRule type="containsText" dxfId="31" priority="676" operator="containsText" text="Extremo">
      <formula>NOT(ISERROR(SEARCH("Extremo",U47)))</formula>
    </cfRule>
    <cfRule type="containsText" dxfId="30" priority="677" operator="containsText" text="Alto">
      <formula>NOT(ISERROR(SEARCH("Alto",U47)))</formula>
    </cfRule>
    <cfRule type="containsText" dxfId="29" priority="678" operator="containsText" text="Moderado">
      <formula>NOT(ISERROR(SEARCH("Moderado",U47)))</formula>
    </cfRule>
    <cfRule type="containsText" dxfId="28" priority="679" operator="containsText" text="Bajo">
      <formula>NOT(ISERROR(SEARCH("Bajo",U47)))</formula>
    </cfRule>
  </conditionalFormatting>
  <conditionalFormatting sqref="U97 U99:U102 U104:U106 U108:U110 U112:U119 U121:U122 U124 U126 U128:U129 U132 U134:U135 U137:U138 U140:U142 U147 U149:U154 U171">
    <cfRule type="containsText" dxfId="27" priority="619" operator="containsText" text="Extremo">
      <formula>NOT(ISERROR(SEARCH("Extremo",U97)))</formula>
    </cfRule>
    <cfRule type="containsText" dxfId="26" priority="620" operator="containsText" text="Alto">
      <formula>NOT(ISERROR(SEARCH("Alto",U97)))</formula>
    </cfRule>
    <cfRule type="containsText" dxfId="25" priority="621" operator="containsText" text="Moderado">
      <formula>NOT(ISERROR(SEARCH("Moderado",U97)))</formula>
    </cfRule>
    <cfRule type="containsText" dxfId="24" priority="622" operator="containsText" text="Bajo">
      <formula>NOT(ISERROR(SEARCH("Bajo",U97)))</formula>
    </cfRule>
  </conditionalFormatting>
  <conditionalFormatting sqref="U101 U9:U13 U27:U29 U31:U34 U36:U38 U40:U41 U44:U45 U51:U75 U77:U79 U81 U83:U95 AK96 AK97:AL97 AK98 AK99:AL102 AK149:AL161 U156:U161 U164:U169 AK164:AL171 AK9:AL95 U16:U25">
    <cfRule type="containsText" dxfId="23" priority="924" operator="containsText" text="Extremo">
      <formula>NOT(ISERROR(SEARCH("Extremo",U9)))</formula>
    </cfRule>
  </conditionalFormatting>
  <conditionalFormatting sqref="U174">
    <cfRule type="containsText" dxfId="22" priority="55" operator="containsText" text="Extremo">
      <formula>NOT(ISERROR(SEARCH("Extremo",U174)))</formula>
    </cfRule>
    <cfRule type="containsText" dxfId="21" priority="56" operator="containsText" text="Alto">
      <formula>NOT(ISERROR(SEARCH("Alto",U174)))</formula>
    </cfRule>
    <cfRule type="containsText" dxfId="20" priority="57" operator="containsText" text="Moderado">
      <formula>NOT(ISERROR(SEARCH("Moderado",U174)))</formula>
    </cfRule>
    <cfRule type="containsText" dxfId="19" priority="58" operator="containsText" text="Bajo">
      <formula>NOT(ISERROR(SEARCH("Bajo",U174)))</formula>
    </cfRule>
  </conditionalFormatting>
  <conditionalFormatting sqref="V118:V120">
    <cfRule type="cellIs" dxfId="18" priority="564" operator="equal">
      <formula>"Extremo"</formula>
    </cfRule>
    <cfRule type="cellIs" dxfId="17" priority="565" operator="equal">
      <formula>"Alto"</formula>
    </cfRule>
    <cfRule type="cellIs" dxfId="16" priority="566" operator="equal">
      <formula>"Moderado"</formula>
    </cfRule>
    <cfRule type="cellIs" dxfId="15" priority="567" operator="equal">
      <formula>"Bajo"</formula>
    </cfRule>
  </conditionalFormatting>
  <conditionalFormatting sqref="AG9:AG174">
    <cfRule type="cellIs" dxfId="14" priority="69" operator="equal">
      <formula>"Muy Alta"</formula>
    </cfRule>
    <cfRule type="cellIs" dxfId="13" priority="70" operator="equal">
      <formula>"Alta"</formula>
    </cfRule>
    <cfRule type="cellIs" dxfId="12" priority="71" operator="equal">
      <formula>"Media"</formula>
    </cfRule>
    <cfRule type="cellIs" dxfId="11" priority="72" operator="equal">
      <formula>"Baja"</formula>
    </cfRule>
    <cfRule type="cellIs" dxfId="10" priority="73" operator="equal">
      <formula>"Muy Baja"</formula>
    </cfRule>
  </conditionalFormatting>
  <conditionalFormatting sqref="AI9:AI174">
    <cfRule type="cellIs" dxfId="9" priority="64" operator="equal">
      <formula>"Catastrófico"</formula>
    </cfRule>
    <cfRule type="cellIs" dxfId="8" priority="65" operator="equal">
      <formula>"Mayor"</formula>
    </cfRule>
    <cfRule type="cellIs" dxfId="7" priority="66" operator="equal">
      <formula>"Menor"</formula>
    </cfRule>
    <cfRule type="cellIs" dxfId="6" priority="67" operator="equal">
      <formula>"Leve"</formula>
    </cfRule>
    <cfRule type="cellIs" dxfId="5" priority="68" operator="equal">
      <formula>"Moderado"</formula>
    </cfRule>
  </conditionalFormatting>
  <conditionalFormatting sqref="AK103 AK104:AL106 AK107 AK108:AL119 AK120 AK121:AL122 AK123 AK124:AL126 AK127 AK128:AL129 AK130:AK133 AL132:AL133 AK134:AL142 AK143:AK146 AK147:AL147 AK148 AK162:AK163 AK172:AK173 AK174:AL174">
    <cfRule type="containsText" dxfId="4" priority="874" operator="containsText" text="Extremo">
      <formula>NOT(ISERROR(SEARCH("Extremo",AK103)))</formula>
    </cfRule>
    <cfRule type="containsText" dxfId="3" priority="875" operator="containsText" text="Alto">
      <formula>NOT(ISERROR(SEARCH("Alto",AK103)))</formula>
    </cfRule>
    <cfRule type="containsText" dxfId="2" priority="876" operator="containsText" text="Moderado">
      <formula>NOT(ISERROR(SEARCH("Moderado",AK103)))</formula>
    </cfRule>
    <cfRule type="containsText" dxfId="1" priority="877" operator="containsText" text="Bajo">
      <formula>NOT(ISERROR(SEARCH("Bajo",AK103)))</formula>
    </cfRule>
  </conditionalFormatting>
  <conditionalFormatting sqref="AK7:AL7">
    <cfRule type="containsText" dxfId="0" priority="956" operator="containsText" text="Alto">
      <formula>NOT(ISERROR(SEARCH("Alto",AK7)))</formula>
    </cfRule>
  </conditionalFormatting>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8877A962-9ABF-4144-8B37-461885999054}">
          <x14:formula1>
            <xm:f>Impacto!$B$5:$B$9</xm:f>
          </x14:formula1>
          <xm:sqref>Q171 Q147 Q140:Q142 Q137:Q138 Q134:Q135 Q132 Q128:Q129 Q126 Q124 Q121:Q122 Q97 Q174 Q81 Q77:Q79 Q44:Q45 Q40:Q41 Q47:Q49 Q9:Q13 Q164:Q169 Q27:Q29 Q31:Q34 Q36:Q38 Q51:Q75 Q104:Q106 Q108:Q119 Q149:Q161 Q99:Q102 Q83:Q95 Q16:Q25</xm:sqref>
        </x14:dataValidation>
        <x14:dataValidation type="list" allowBlank="1" showInputMessage="1" showErrorMessage="1" xr:uid="{7B7BB259-05D1-4721-966D-2D650E75F0A8}">
          <x14:formula1>
            <xm:f>Datos!$D$5:$D$13</xm:f>
          </x14:formula1>
          <xm:sqref>H9:H13 H40:H41 H47:H49 H44:H45 H81 H77:H79 H97 H104:H106 H108:H110 H112:H119 H121:H122 H124 H126 H128 H134 H137:H149 H27:H29 H152:H174 H31:H34 H36:H38 H51:H75 H99:H102 H83:H95 H16:H25</xm:sqref>
        </x14:dataValidation>
        <x14:dataValidation type="list" allowBlank="1" showInputMessage="1" showErrorMessage="1" xr:uid="{563BD314-DB88-490A-BE29-0859E5A9FAD9}">
          <x14:formula1>
            <xm:f>Datos!$E$5:$E$10</xm:f>
          </x14:formula1>
          <xm:sqref>I9:I13 I40:I41 I47:I49 I44:I45 I81 I77:I79 I97 I104:I110 I112:I122 I124 I126 I27:I29 I128:I174 I31:I34 I36:I38 I51:I75 I99:I102 I83:I95 I16:I25</xm:sqref>
        </x14:dataValidation>
        <x14:dataValidation type="list" allowBlank="1" showInputMessage="1" showErrorMessage="1" xr:uid="{E27A761C-272E-406A-A5F6-E261AE7BA805}">
          <x14:formula1>
            <xm:f>Datos!$F$5:$F$14</xm:f>
          </x14:formula1>
          <xm:sqref>J9:J13 J40:J41 J44:J45 J81 J77:J79 J97 J104:J122 J124 J126 J128:J137 J27:J29 J140:J174 J31:J34 J36:J38 J51:J75 J99:J102 J83:J95 J16:J25</xm:sqref>
        </x14:dataValidation>
        <x14:dataValidation type="list" allowBlank="1" showInputMessage="1" showErrorMessage="1" xr:uid="{ADFF7A27-316A-418D-9B76-ABB161193D2B}">
          <x14:formula1>
            <xm:f>Datos!$G$5:$G$8</xm:f>
          </x14:formula1>
          <xm:sqref>K9:K13 K40:K41 K47:K49 K44:K45 K81 K77:K79 K97 K104:K122 K124 K126 K128 K27:K29 K31:K38 K51:K75 K99:K102 K83:K95 K16:K25</xm:sqref>
        </x14:dataValidation>
        <x14:dataValidation type="list" allowBlank="1" showInputMessage="1" showErrorMessage="1" xr:uid="{CCE46251-2870-452D-8966-8E4AB3B110AB}">
          <x14:formula1>
            <xm:f>Datos!$P$5:$P$6</xm:f>
          </x14:formula1>
          <xm:sqref>AS9:AS10</xm:sqref>
        </x14:dataValidation>
        <x14:dataValidation type="list" allowBlank="1" showInputMessage="1" showErrorMessage="1" xr:uid="{D7654A6D-EE2F-4C0D-9BB2-F74C62E6306A}">
          <x14:formula1>
            <xm:f>Datos!$B$5:$B$74</xm:f>
          </x14:formula1>
          <xm:sqref>B9:B14 B112:B119 B108:B110 B104:B106 B97 C169 B47:B49 B44:B45 B121:B122 B124 B126 B129 B174 B137:B138 B132 B134:B135 B149:B154 B164:B169 B140:C142 B27:B29 C138 B147:C147 C149 B156:B161 B171:C171 B77:B79 B81 B51:B75 B31:B38 B40:B41 B99:B102 B83:B95 B16:B25</xm:sqref>
        </x14:dataValidation>
        <x14:dataValidation type="list" allowBlank="1" showInputMessage="1" showErrorMessage="1" xr:uid="{68B77C4C-CC80-40F9-B01B-65E5B3622FA4}">
          <x14:formula1>
            <xm:f>Datos!$C$5:$C$74</xm:f>
          </x14:formula1>
          <xm:sqref>C164:C168 C108:C110 C104:C106 C97 B128 C137 C174 C9:C13 C16:C17 C18:C23 C27:C28 C31 C33:C34 C44:C45 C47:C48 C51:C53 C55:C56 C112:C119 C121:C122 C124 C126 C128:C129 C132 C134:C135 C150:C154 C156:C161 C77:C79 C81 C58:C75 C36:C38 C40:C41 C99:C102 C83:C95</xm:sqref>
        </x14:dataValidation>
        <x14:dataValidation type="list" allowBlank="1" showInputMessage="1" showErrorMessage="1" xr:uid="{4D64CCCC-9401-44B8-9CAD-143156183E80}">
          <x14:formula1>
            <xm:f>Datos!$F$5:$F$15</xm:f>
          </x14:formula1>
          <xm:sqref>J138:J139 J47:J50</xm:sqref>
        </x14:dataValidation>
        <x14:dataValidation type="list" allowBlank="1" showInputMessage="1" showErrorMessage="1" xr:uid="{A8CD0CAB-205B-40D8-9F6B-DB13C1EE25F1}">
          <x14:formula1>
            <xm:f>Datos!$D$5:$D$14</xm:f>
          </x14:formula1>
          <xm:sqref>H150:H151</xm:sqref>
        </x14:dataValidation>
        <x14:dataValidation type="list" allowBlank="1" showInputMessage="1" showErrorMessage="1" xr:uid="{BC8A89A5-A015-477F-AEF2-B88020B2AE11}">
          <x14:formula1>
            <xm:f>Datos!$O$5:$O$9</xm:f>
          </x14:formula1>
          <xm:sqref>AM18 AM9:AM13 AM16 AM27 AM31 AM33:AM34 AM36:AM38 AM40:AM41 AM44:AM45 AM47:AM48 AM51 AM55:AM56 AM58:AM75 AM77:AM79 AM81 AM83:AM95 AM97 AM99:AM102 AM104:AM106 AM108:AM119 AM121:AM122 AM124 AM126 AM128:AM129 AM132 AM134:AM135 AM137:AM138 AM140:AM142 AM147 AM149:AM154 AM156:AM161 AM164:AM169 AM171 AM174</xm:sqref>
        </x14:dataValidation>
        <x14:dataValidation type="list" allowBlank="1" showInputMessage="1" showErrorMessage="1" xr:uid="{50348151-8817-4AE7-A4B0-B02A06575CAB}">
          <x14:formula1>
            <xm:f>Datos!$J$5:$J$7</xm:f>
          </x14:formula1>
          <xm:sqref>Y9:Y174</xm:sqref>
        </x14:dataValidation>
        <x14:dataValidation type="list" allowBlank="1" showInputMessage="1" showErrorMessage="1" xr:uid="{98FF9259-564E-41AF-99B2-113974722ABE}">
          <x14:formula1>
            <xm:f>Datos!$L$5:$L$6</xm:f>
          </x14:formula1>
          <xm:sqref>AB9:AB174</xm:sqref>
        </x14:dataValidation>
        <x14:dataValidation type="list" allowBlank="1" showInputMessage="1" showErrorMessage="1" xr:uid="{1F58CD46-1320-4FDC-BC06-C77687C3A012}">
          <x14:formula1>
            <xm:f>Datos!$M$5:$M$6</xm:f>
          </x14:formula1>
          <xm:sqref>AC9:AC174</xm:sqref>
        </x14:dataValidation>
        <x14:dataValidation type="list" allowBlank="1" showInputMessage="1" showErrorMessage="1" xr:uid="{84458B0F-B6C8-479E-A188-46F8E411F860}">
          <x14:formula1>
            <xm:f>Datos!$N$5:$N$6</xm:f>
          </x14:formula1>
          <xm:sqref>AD9:AD174</xm:sqref>
        </x14:dataValidation>
        <x14:dataValidation type="list" allowBlank="1" showInputMessage="1" showErrorMessage="1" xr:uid="{EE2575E5-87A4-40E0-8406-4E3AD974FEEB}">
          <x14:formula1>
            <xm:f>Datos!$K$5:$K$6</xm:f>
          </x14:formula1>
          <xm:sqref>Z9:Z174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463ECF-5716-4F03-B5DE-93B81D74F540}">
  <sheetPr codeName="Hoja3"/>
  <dimension ref="B2:P74"/>
  <sheetViews>
    <sheetView topLeftCell="A4" zoomScale="80" zoomScaleNormal="80" workbookViewId="0">
      <selection activeCell="C8" sqref="C8"/>
    </sheetView>
  </sheetViews>
  <sheetFormatPr baseColWidth="10" defaultColWidth="11.42578125" defaultRowHeight="15" x14ac:dyDescent="0.25"/>
  <cols>
    <col min="1" max="1" width="11.42578125" style="11"/>
    <col min="2" max="2" width="51.85546875" style="11" bestFit="1" customWidth="1"/>
    <col min="3" max="3" width="34.7109375" style="11" bestFit="1" customWidth="1"/>
    <col min="4" max="4" width="28.28515625" style="11" customWidth="1"/>
    <col min="5" max="5" width="20.140625" style="11" bestFit="1" customWidth="1"/>
    <col min="6" max="6" width="33.5703125" style="11" bestFit="1" customWidth="1"/>
    <col min="7" max="7" width="11.42578125" style="11"/>
    <col min="8" max="8" width="36.7109375" style="11" bestFit="1" customWidth="1"/>
    <col min="9" max="9" width="16.5703125" style="11" customWidth="1"/>
    <col min="10" max="10" width="18.7109375" style="11" customWidth="1"/>
    <col min="11" max="11" width="15.42578125" style="11" customWidth="1"/>
    <col min="12" max="12" width="17.42578125" style="11" customWidth="1"/>
    <col min="15" max="15" width="18.28515625" style="11" bestFit="1" customWidth="1"/>
    <col min="16" max="16384" width="11.42578125" style="11"/>
  </cols>
  <sheetData>
    <row r="2" spans="2:16" s="31" customFormat="1" ht="24" customHeight="1" x14ac:dyDescent="0.25">
      <c r="B2" s="647" t="s">
        <v>701</v>
      </c>
      <c r="C2" s="648"/>
      <c r="D2" s="648"/>
      <c r="E2" s="648"/>
      <c r="F2" s="648"/>
      <c r="G2" s="648"/>
      <c r="H2" s="648"/>
      <c r="I2" s="649"/>
      <c r="J2" s="650"/>
      <c r="K2" s="650"/>
      <c r="L2" s="650"/>
      <c r="O2" s="33"/>
      <c r="P2" s="34"/>
    </row>
    <row r="3" spans="2:16" s="31" customFormat="1" ht="15" customHeight="1" x14ac:dyDescent="0.25">
      <c r="B3" s="517" t="s">
        <v>706</v>
      </c>
      <c r="C3" s="517" t="s">
        <v>707</v>
      </c>
      <c r="D3" s="517" t="s">
        <v>712</v>
      </c>
      <c r="E3" s="517" t="s">
        <v>713</v>
      </c>
      <c r="F3" s="517" t="s">
        <v>714</v>
      </c>
      <c r="G3" s="517" t="s">
        <v>715</v>
      </c>
      <c r="H3" s="517" t="s">
        <v>716</v>
      </c>
      <c r="I3" s="517" t="s">
        <v>717</v>
      </c>
      <c r="J3" s="651"/>
      <c r="K3" s="652"/>
      <c r="L3" s="652"/>
      <c r="M3" s="652"/>
      <c r="N3" s="653"/>
      <c r="O3" s="609" t="s">
        <v>729</v>
      </c>
      <c r="P3" s="542" t="s">
        <v>734</v>
      </c>
    </row>
    <row r="4" spans="2:16" s="31" customFormat="1" ht="85.5" customHeight="1" x14ac:dyDescent="0.25">
      <c r="B4" s="518"/>
      <c r="C4" s="518"/>
      <c r="D4" s="518"/>
      <c r="E4" s="518"/>
      <c r="F4" s="518"/>
      <c r="G4" s="518"/>
      <c r="H4" s="518"/>
      <c r="I4" s="518"/>
      <c r="J4" s="6" t="s">
        <v>735</v>
      </c>
      <c r="K4" s="6" t="s">
        <v>736</v>
      </c>
      <c r="L4" s="6" t="s">
        <v>738</v>
      </c>
      <c r="M4" s="6" t="s">
        <v>739</v>
      </c>
      <c r="N4" s="6" t="s">
        <v>740</v>
      </c>
      <c r="O4" s="610"/>
      <c r="P4" s="604"/>
    </row>
    <row r="5" spans="2:16" x14ac:dyDescent="0.25">
      <c r="B5" s="643" t="s">
        <v>742</v>
      </c>
      <c r="C5" s="350" t="s">
        <v>765</v>
      </c>
      <c r="D5" s="23" t="s">
        <v>747</v>
      </c>
      <c r="E5" s="23" t="s">
        <v>1251</v>
      </c>
      <c r="F5" s="25" t="s">
        <v>5</v>
      </c>
      <c r="G5" s="32" t="s">
        <v>779</v>
      </c>
      <c r="H5" s="25" t="s">
        <v>1252</v>
      </c>
      <c r="I5" s="23" t="s">
        <v>752</v>
      </c>
      <c r="J5" s="25" t="s">
        <v>755</v>
      </c>
      <c r="K5" s="25" t="s">
        <v>1136</v>
      </c>
      <c r="L5" s="25" t="s">
        <v>738</v>
      </c>
      <c r="M5" s="25" t="s">
        <v>757</v>
      </c>
      <c r="N5" s="25" t="s">
        <v>758</v>
      </c>
      <c r="O5" s="25" t="s">
        <v>759</v>
      </c>
      <c r="P5" s="25" t="s">
        <v>764</v>
      </c>
    </row>
    <row r="6" spans="2:16" ht="30" x14ac:dyDescent="0.25">
      <c r="B6" s="643"/>
      <c r="C6" s="350" t="s">
        <v>743</v>
      </c>
      <c r="D6" s="23" t="s">
        <v>1253</v>
      </c>
      <c r="E6" s="23" t="s">
        <v>748</v>
      </c>
      <c r="F6" s="25" t="s">
        <v>1254</v>
      </c>
      <c r="G6" s="32" t="s">
        <v>847</v>
      </c>
      <c r="H6" s="25" t="s">
        <v>1255</v>
      </c>
      <c r="I6" s="23" t="s">
        <v>174</v>
      </c>
      <c r="J6" s="25" t="s">
        <v>1256</v>
      </c>
      <c r="K6" s="25" t="s">
        <v>756</v>
      </c>
      <c r="L6" s="25" t="s">
        <v>1002</v>
      </c>
      <c r="M6" s="25" t="s">
        <v>1257</v>
      </c>
      <c r="N6" s="25" t="s">
        <v>1258</v>
      </c>
      <c r="O6" s="25" t="s">
        <v>1259</v>
      </c>
      <c r="P6" s="25" t="s">
        <v>1260</v>
      </c>
    </row>
    <row r="7" spans="2:16" x14ac:dyDescent="0.25">
      <c r="B7" s="23" t="s">
        <v>886</v>
      </c>
      <c r="C7" s="350" t="s">
        <v>886</v>
      </c>
      <c r="D7" s="23" t="s">
        <v>1261</v>
      </c>
      <c r="E7" s="23" t="s">
        <v>1262</v>
      </c>
      <c r="F7" s="25" t="s">
        <v>778</v>
      </c>
      <c r="G7" s="32" t="s">
        <v>865</v>
      </c>
      <c r="H7" s="25" t="s">
        <v>1263</v>
      </c>
      <c r="I7" s="23" t="s">
        <v>1264</v>
      </c>
      <c r="J7" s="25" t="s">
        <v>849</v>
      </c>
      <c r="K7" s="24"/>
      <c r="L7" s="24"/>
      <c r="O7" s="25" t="s">
        <v>1265</v>
      </c>
    </row>
    <row r="8" spans="2:16" ht="75" x14ac:dyDescent="0.25">
      <c r="B8" s="643" t="s">
        <v>792</v>
      </c>
      <c r="C8" s="350" t="s">
        <v>793</v>
      </c>
      <c r="D8" s="23" t="s">
        <v>1266</v>
      </c>
      <c r="E8" s="23" t="s">
        <v>1267</v>
      </c>
      <c r="F8" s="25" t="s">
        <v>1268</v>
      </c>
      <c r="G8" s="32" t="s">
        <v>750</v>
      </c>
      <c r="H8" s="25" t="s">
        <v>1269</v>
      </c>
      <c r="I8" s="23" t="s">
        <v>1270</v>
      </c>
      <c r="J8" s="24"/>
      <c r="K8" s="24"/>
      <c r="L8" s="24"/>
      <c r="O8" s="25" t="s">
        <v>1271</v>
      </c>
    </row>
    <row r="9" spans="2:16" ht="30" x14ac:dyDescent="0.25">
      <c r="B9" s="643"/>
      <c r="C9" s="350" t="s">
        <v>862</v>
      </c>
      <c r="D9" s="23" t="s">
        <v>1272</v>
      </c>
      <c r="E9" s="23" t="s">
        <v>1048</v>
      </c>
      <c r="F9" s="25" t="s">
        <v>1273</v>
      </c>
      <c r="H9" s="25" t="s">
        <v>1274</v>
      </c>
      <c r="I9" s="23" t="s">
        <v>1275</v>
      </c>
      <c r="J9" s="24"/>
      <c r="K9" s="24"/>
      <c r="L9" s="24"/>
      <c r="O9" s="25" t="s">
        <v>1276</v>
      </c>
    </row>
    <row r="10" spans="2:16" ht="30" x14ac:dyDescent="0.25">
      <c r="B10" s="643"/>
      <c r="C10" s="350" t="s">
        <v>843</v>
      </c>
      <c r="D10" s="23" t="s">
        <v>991</v>
      </c>
      <c r="E10" s="23" t="s">
        <v>1075</v>
      </c>
      <c r="F10" s="25" t="s">
        <v>1277</v>
      </c>
      <c r="H10" s="25" t="s">
        <v>1278</v>
      </c>
      <c r="I10" s="23" t="s">
        <v>1279</v>
      </c>
    </row>
    <row r="11" spans="2:16" ht="30" x14ac:dyDescent="0.25">
      <c r="B11" s="23" t="s">
        <v>905</v>
      </c>
      <c r="C11" s="350" t="s">
        <v>905</v>
      </c>
      <c r="D11" s="23" t="s">
        <v>1280</v>
      </c>
      <c r="F11" s="25" t="s">
        <v>784</v>
      </c>
      <c r="H11" s="25" t="s">
        <v>992</v>
      </c>
      <c r="I11" s="23" t="s">
        <v>1281</v>
      </c>
    </row>
    <row r="12" spans="2:16" ht="30" x14ac:dyDescent="0.25">
      <c r="B12" s="643" t="s">
        <v>916</v>
      </c>
      <c r="C12" s="350" t="s">
        <v>916</v>
      </c>
      <c r="D12" s="23" t="s">
        <v>1282</v>
      </c>
      <c r="F12" s="25" t="s">
        <v>1109</v>
      </c>
      <c r="H12" s="25" t="s">
        <v>1283</v>
      </c>
      <c r="I12" s="23" t="s">
        <v>1284</v>
      </c>
    </row>
    <row r="13" spans="2:16" x14ac:dyDescent="0.25">
      <c r="B13" s="643"/>
      <c r="C13" s="23" t="s">
        <v>1285</v>
      </c>
      <c r="D13" s="23" t="s">
        <v>1286</v>
      </c>
      <c r="F13" s="25" t="s">
        <v>749</v>
      </c>
      <c r="H13" s="25" t="s">
        <v>1287</v>
      </c>
      <c r="I13" s="23" t="s">
        <v>1288</v>
      </c>
    </row>
    <row r="14" spans="2:16" x14ac:dyDescent="0.25">
      <c r="B14" s="643"/>
      <c r="C14" s="23" t="s">
        <v>1289</v>
      </c>
      <c r="F14" s="25" t="s">
        <v>791</v>
      </c>
      <c r="H14" s="25" t="s">
        <v>1126</v>
      </c>
      <c r="I14" s="23" t="s">
        <v>1290</v>
      </c>
    </row>
    <row r="15" spans="2:16" ht="30" x14ac:dyDescent="0.25">
      <c r="B15" s="23" t="s">
        <v>931</v>
      </c>
      <c r="C15" s="23" t="s">
        <v>931</v>
      </c>
      <c r="F15" s="23" t="s">
        <v>751</v>
      </c>
      <c r="H15" s="25" t="s">
        <v>1291</v>
      </c>
    </row>
    <row r="16" spans="2:16" x14ac:dyDescent="0.25">
      <c r="B16" s="643" t="s">
        <v>942</v>
      </c>
      <c r="C16" s="350" t="s">
        <v>942</v>
      </c>
      <c r="H16" s="25" t="s">
        <v>1292</v>
      </c>
    </row>
    <row r="17" spans="2:8" x14ac:dyDescent="0.25">
      <c r="B17" s="643"/>
      <c r="C17" s="23" t="s">
        <v>1293</v>
      </c>
      <c r="H17" s="25" t="s">
        <v>1268</v>
      </c>
    </row>
    <row r="18" spans="2:8" x14ac:dyDescent="0.25">
      <c r="B18" s="643" t="s">
        <v>946</v>
      </c>
      <c r="C18" s="350" t="s">
        <v>946</v>
      </c>
      <c r="H18" s="25" t="s">
        <v>1294</v>
      </c>
    </row>
    <row r="19" spans="2:8" x14ac:dyDescent="0.25">
      <c r="B19" s="643"/>
      <c r="C19" s="23" t="s">
        <v>1295</v>
      </c>
      <c r="H19" s="25"/>
    </row>
    <row r="20" spans="2:8" x14ac:dyDescent="0.25">
      <c r="B20" s="643"/>
      <c r="C20" s="23" t="s">
        <v>1296</v>
      </c>
      <c r="H20" s="25" t="s">
        <v>1297</v>
      </c>
    </row>
    <row r="21" spans="2:8" ht="30" x14ac:dyDescent="0.25">
      <c r="B21" s="643"/>
      <c r="C21" s="23" t="s">
        <v>1298</v>
      </c>
      <c r="H21" s="25" t="s">
        <v>1299</v>
      </c>
    </row>
    <row r="22" spans="2:8" ht="30" x14ac:dyDescent="0.25">
      <c r="B22" s="643"/>
      <c r="C22" s="23" t="s">
        <v>1300</v>
      </c>
    </row>
    <row r="23" spans="2:8" ht="45" x14ac:dyDescent="0.25">
      <c r="B23" s="643"/>
      <c r="C23" s="23" t="s">
        <v>1301</v>
      </c>
    </row>
    <row r="24" spans="2:8" ht="30" x14ac:dyDescent="0.25">
      <c r="B24" s="643"/>
      <c r="C24" s="23" t="s">
        <v>1302</v>
      </c>
    </row>
    <row r="25" spans="2:8" ht="45" x14ac:dyDescent="0.25">
      <c r="B25" s="643"/>
      <c r="C25" s="23" t="s">
        <v>1303</v>
      </c>
    </row>
    <row r="26" spans="2:8" ht="30" x14ac:dyDescent="0.25">
      <c r="B26" s="643"/>
      <c r="C26" s="23" t="s">
        <v>1304</v>
      </c>
    </row>
    <row r="27" spans="2:8" ht="30" x14ac:dyDescent="0.25">
      <c r="B27" s="643"/>
      <c r="C27" s="23" t="s">
        <v>1305</v>
      </c>
    </row>
    <row r="28" spans="2:8" ht="30" x14ac:dyDescent="0.25">
      <c r="B28" s="643"/>
      <c r="C28" s="23" t="s">
        <v>1306</v>
      </c>
    </row>
    <row r="29" spans="2:8" x14ac:dyDescent="0.25">
      <c r="B29" s="643"/>
      <c r="C29" s="23" t="s">
        <v>1307</v>
      </c>
    </row>
    <row r="30" spans="2:8" x14ac:dyDescent="0.25">
      <c r="B30" s="643"/>
      <c r="C30" s="23" t="s">
        <v>1308</v>
      </c>
    </row>
    <row r="31" spans="2:8" x14ac:dyDescent="0.25">
      <c r="B31" s="643"/>
      <c r="C31" s="23" t="s">
        <v>1309</v>
      </c>
    </row>
    <row r="32" spans="2:8" x14ac:dyDescent="0.25">
      <c r="B32" s="643"/>
      <c r="C32" s="23" t="s">
        <v>1310</v>
      </c>
    </row>
    <row r="33" spans="2:3" x14ac:dyDescent="0.25">
      <c r="B33" s="643" t="s">
        <v>948</v>
      </c>
      <c r="C33" s="350" t="s">
        <v>948</v>
      </c>
    </row>
    <row r="34" spans="2:3" x14ac:dyDescent="0.25">
      <c r="B34" s="643"/>
      <c r="C34" s="23" t="s">
        <v>1311</v>
      </c>
    </row>
    <row r="35" spans="2:3" x14ac:dyDescent="0.25">
      <c r="B35" s="643"/>
      <c r="C35" s="23" t="s">
        <v>1312</v>
      </c>
    </row>
    <row r="36" spans="2:3" x14ac:dyDescent="0.25">
      <c r="B36" s="643"/>
      <c r="C36" s="23" t="s">
        <v>1313</v>
      </c>
    </row>
    <row r="37" spans="2:3" x14ac:dyDescent="0.25">
      <c r="B37" s="643"/>
      <c r="C37" s="23" t="s">
        <v>1314</v>
      </c>
    </row>
    <row r="38" spans="2:3" x14ac:dyDescent="0.25">
      <c r="B38" s="643"/>
      <c r="C38" s="23" t="s">
        <v>1315</v>
      </c>
    </row>
    <row r="39" spans="2:3" x14ac:dyDescent="0.25">
      <c r="B39" s="23" t="s">
        <v>952</v>
      </c>
      <c r="C39" s="23" t="s">
        <v>952</v>
      </c>
    </row>
    <row r="40" spans="2:3" x14ac:dyDescent="0.25">
      <c r="B40" s="643" t="s">
        <v>957</v>
      </c>
      <c r="C40" s="350" t="s">
        <v>958</v>
      </c>
    </row>
    <row r="41" spans="2:3" x14ac:dyDescent="0.25">
      <c r="B41" s="643"/>
      <c r="C41" s="23" t="s">
        <v>1316</v>
      </c>
    </row>
    <row r="42" spans="2:3" x14ac:dyDescent="0.25">
      <c r="B42" s="643"/>
      <c r="C42" s="23" t="s">
        <v>1317</v>
      </c>
    </row>
    <row r="43" spans="2:3" x14ac:dyDescent="0.25">
      <c r="B43" s="643"/>
      <c r="C43" s="23" t="s">
        <v>1318</v>
      </c>
    </row>
    <row r="44" spans="2:3" x14ac:dyDescent="0.25">
      <c r="B44" s="643" t="s">
        <v>967</v>
      </c>
      <c r="C44" s="350" t="s">
        <v>968</v>
      </c>
    </row>
    <row r="45" spans="2:3" ht="30" x14ac:dyDescent="0.25">
      <c r="B45" s="643"/>
      <c r="C45" s="23" t="s">
        <v>1319</v>
      </c>
    </row>
    <row r="46" spans="2:3" ht="30" x14ac:dyDescent="0.25">
      <c r="B46" s="643"/>
      <c r="C46" s="23" t="s">
        <v>1320</v>
      </c>
    </row>
    <row r="47" spans="2:3" x14ac:dyDescent="0.25">
      <c r="B47" s="643" t="s">
        <v>998</v>
      </c>
      <c r="C47" s="350" t="s">
        <v>999</v>
      </c>
    </row>
    <row r="48" spans="2:3" x14ac:dyDescent="0.25">
      <c r="B48" s="643"/>
      <c r="C48" s="350" t="s">
        <v>1011</v>
      </c>
    </row>
    <row r="49" spans="2:3" ht="30" x14ac:dyDescent="0.25">
      <c r="B49" s="643"/>
      <c r="C49" s="23" t="s">
        <v>1321</v>
      </c>
    </row>
    <row r="50" spans="2:3" ht="45" x14ac:dyDescent="0.25">
      <c r="B50" s="643"/>
      <c r="C50" s="23" t="s">
        <v>1322</v>
      </c>
    </row>
    <row r="51" spans="2:3" ht="60" x14ac:dyDescent="0.25">
      <c r="B51" s="643"/>
      <c r="C51" s="23" t="s">
        <v>1323</v>
      </c>
    </row>
    <row r="52" spans="2:3" ht="45" x14ac:dyDescent="0.25">
      <c r="B52" s="643"/>
      <c r="C52" s="23" t="s">
        <v>1324</v>
      </c>
    </row>
    <row r="53" spans="2:3" ht="45" x14ac:dyDescent="0.25">
      <c r="B53" s="643"/>
      <c r="C53" s="23" t="s">
        <v>1325</v>
      </c>
    </row>
    <row r="54" spans="2:3" x14ac:dyDescent="0.25">
      <c r="B54" s="643"/>
      <c r="C54" s="350" t="s">
        <v>1575</v>
      </c>
    </row>
    <row r="55" spans="2:3" ht="45" x14ac:dyDescent="0.25">
      <c r="B55" s="643"/>
      <c r="C55" s="23" t="s">
        <v>1326</v>
      </c>
    </row>
    <row r="56" spans="2:3" x14ac:dyDescent="0.25">
      <c r="B56" s="23" t="s">
        <v>931</v>
      </c>
      <c r="C56" s="350" t="s">
        <v>931</v>
      </c>
    </row>
    <row r="57" spans="2:3" x14ac:dyDescent="0.25">
      <c r="B57" s="23" t="s">
        <v>1018</v>
      </c>
      <c r="C57" s="350" t="s">
        <v>1018</v>
      </c>
    </row>
    <row r="58" spans="2:3" x14ac:dyDescent="0.25">
      <c r="B58" s="644" t="s">
        <v>1025</v>
      </c>
      <c r="C58" s="350" t="s">
        <v>1026</v>
      </c>
    </row>
    <row r="59" spans="2:3" x14ac:dyDescent="0.25">
      <c r="B59" s="646"/>
      <c r="C59" s="350" t="s">
        <v>1044</v>
      </c>
    </row>
    <row r="60" spans="2:3" x14ac:dyDescent="0.25">
      <c r="B60" s="23" t="s">
        <v>1058</v>
      </c>
      <c r="C60" s="350" t="s">
        <v>1058</v>
      </c>
    </row>
    <row r="61" spans="2:3" x14ac:dyDescent="0.25">
      <c r="B61" s="23" t="s">
        <v>1087</v>
      </c>
      <c r="C61" s="350" t="s">
        <v>1087</v>
      </c>
    </row>
    <row r="62" spans="2:3" x14ac:dyDescent="0.25">
      <c r="B62" s="23" t="s">
        <v>1115</v>
      </c>
      <c r="C62" s="350" t="s">
        <v>1115</v>
      </c>
    </row>
    <row r="63" spans="2:3" x14ac:dyDescent="0.25">
      <c r="B63" s="339"/>
      <c r="C63" s="23" t="s">
        <v>1327</v>
      </c>
    </row>
    <row r="64" spans="2:3" x14ac:dyDescent="0.25">
      <c r="B64" s="644" t="s">
        <v>1130</v>
      </c>
      <c r="C64" s="350" t="s">
        <v>1131</v>
      </c>
    </row>
    <row r="65" spans="2:3" x14ac:dyDescent="0.25">
      <c r="B65" s="645"/>
      <c r="C65" s="350" t="s">
        <v>1147</v>
      </c>
    </row>
    <row r="66" spans="2:3" x14ac:dyDescent="0.25">
      <c r="B66" s="23" t="s">
        <v>1154</v>
      </c>
      <c r="C66" s="23"/>
    </row>
    <row r="67" spans="2:3" x14ac:dyDescent="0.25">
      <c r="B67" s="23" t="s">
        <v>1177</v>
      </c>
      <c r="C67" s="23"/>
    </row>
    <row r="68" spans="2:3" x14ac:dyDescent="0.25">
      <c r="B68" s="23" t="s">
        <v>1169</v>
      </c>
      <c r="C68" s="23"/>
    </row>
    <row r="69" spans="2:3" x14ac:dyDescent="0.25">
      <c r="B69" s="644" t="s">
        <v>1184</v>
      </c>
      <c r="C69" s="350" t="s">
        <v>1217</v>
      </c>
    </row>
    <row r="70" spans="2:3" x14ac:dyDescent="0.25">
      <c r="B70" s="646"/>
      <c r="C70" s="350" t="s">
        <v>1212</v>
      </c>
    </row>
    <row r="71" spans="2:3" x14ac:dyDescent="0.25">
      <c r="B71" s="646"/>
      <c r="C71" s="350" t="s">
        <v>1198</v>
      </c>
    </row>
    <row r="72" spans="2:3" x14ac:dyDescent="0.25">
      <c r="B72" s="646"/>
      <c r="C72" s="350" t="s">
        <v>1232</v>
      </c>
    </row>
    <row r="73" spans="2:3" x14ac:dyDescent="0.25">
      <c r="B73" s="645"/>
      <c r="C73" s="350" t="s">
        <v>1185</v>
      </c>
    </row>
    <row r="74" spans="2:3" x14ac:dyDescent="0.25">
      <c r="B74" s="23" t="s">
        <v>1237</v>
      </c>
      <c r="C74" s="350" t="s">
        <v>1237</v>
      </c>
    </row>
  </sheetData>
  <mergeCells count="25">
    <mergeCell ref="B2:I2"/>
    <mergeCell ref="J2:L2"/>
    <mergeCell ref="B3:B4"/>
    <mergeCell ref="C3:C4"/>
    <mergeCell ref="J3:N3"/>
    <mergeCell ref="P3:P4"/>
    <mergeCell ref="B5:B6"/>
    <mergeCell ref="B8:B10"/>
    <mergeCell ref="O3:O4"/>
    <mergeCell ref="H3:H4"/>
    <mergeCell ref="I3:I4"/>
    <mergeCell ref="D3:D4"/>
    <mergeCell ref="E3:E4"/>
    <mergeCell ref="F3:F4"/>
    <mergeCell ref="G3:G4"/>
    <mergeCell ref="B47:B55"/>
    <mergeCell ref="B64:B65"/>
    <mergeCell ref="B69:B73"/>
    <mergeCell ref="B12:B14"/>
    <mergeCell ref="B16:B17"/>
    <mergeCell ref="B18:B32"/>
    <mergeCell ref="B33:B38"/>
    <mergeCell ref="B40:B43"/>
    <mergeCell ref="B44:B46"/>
    <mergeCell ref="B58:B59"/>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394D1-F2C2-428F-A59D-E93515FC6D64}">
  <sheetPr codeName="Hoja4"/>
  <dimension ref="B1:J14"/>
  <sheetViews>
    <sheetView zoomScale="60" zoomScaleNormal="60" workbookViewId="0">
      <selection activeCell="N10" sqref="N10"/>
    </sheetView>
  </sheetViews>
  <sheetFormatPr baseColWidth="10" defaultColWidth="11.42578125" defaultRowHeight="15" x14ac:dyDescent="0.25"/>
  <cols>
    <col min="2" max="2" width="16.140625" customWidth="1"/>
    <col min="4" max="8" width="43.28515625" customWidth="1"/>
    <col min="10" max="10" width="21.85546875" customWidth="1"/>
  </cols>
  <sheetData>
    <row r="1" spans="2:10" ht="15.75" thickBot="1" x14ac:dyDescent="0.3"/>
    <row r="2" spans="2:10" ht="127.5" customHeight="1" x14ac:dyDescent="0.25">
      <c r="B2" s="667" t="s">
        <v>1328</v>
      </c>
      <c r="C2" s="7" t="s">
        <v>1329</v>
      </c>
      <c r="D2" s="665" t="s">
        <v>1680</v>
      </c>
      <c r="E2" s="670"/>
      <c r="F2" s="670" t="s">
        <v>1689</v>
      </c>
      <c r="G2" s="678" t="s">
        <v>1681</v>
      </c>
      <c r="H2" s="678" t="s">
        <v>1688</v>
      </c>
      <c r="I2" s="657"/>
      <c r="J2" s="676" t="s">
        <v>1330</v>
      </c>
    </row>
    <row r="3" spans="2:10" ht="127.5" customHeight="1" thickBot="1" x14ac:dyDescent="0.3">
      <c r="B3" s="668"/>
      <c r="C3" s="8">
        <v>1</v>
      </c>
      <c r="D3" s="666"/>
      <c r="E3" s="671"/>
      <c r="F3" s="671"/>
      <c r="G3" s="679"/>
      <c r="H3" s="679"/>
      <c r="I3" s="657"/>
      <c r="J3" s="677"/>
    </row>
    <row r="4" spans="2:10" ht="127.5" customHeight="1" x14ac:dyDescent="0.25">
      <c r="B4" s="668"/>
      <c r="C4" s="9" t="s">
        <v>1331</v>
      </c>
      <c r="D4" s="665" t="s">
        <v>1679</v>
      </c>
      <c r="E4" s="665" t="s">
        <v>1098</v>
      </c>
      <c r="F4" s="670" t="s">
        <v>1690</v>
      </c>
      <c r="G4" s="670" t="s">
        <v>1682</v>
      </c>
      <c r="H4" s="678" t="s">
        <v>1687</v>
      </c>
      <c r="I4" s="657"/>
      <c r="J4" s="680" t="s">
        <v>1332</v>
      </c>
    </row>
    <row r="5" spans="2:10" ht="127.5" customHeight="1" thickBot="1" x14ac:dyDescent="0.3">
      <c r="B5" s="668"/>
      <c r="C5" s="10">
        <v>0.8</v>
      </c>
      <c r="D5" s="666"/>
      <c r="E5" s="666"/>
      <c r="F5" s="671"/>
      <c r="G5" s="671"/>
      <c r="H5" s="679"/>
      <c r="I5" s="657"/>
      <c r="J5" s="681"/>
    </row>
    <row r="6" spans="2:10" ht="127.5" customHeight="1" x14ac:dyDescent="0.25">
      <c r="B6" s="668"/>
      <c r="C6" s="9" t="s">
        <v>1333</v>
      </c>
      <c r="D6" s="665" t="s">
        <v>1678</v>
      </c>
      <c r="E6" s="665"/>
      <c r="F6" s="665" t="s">
        <v>1691</v>
      </c>
      <c r="G6" s="670" t="s">
        <v>1683</v>
      </c>
      <c r="H6" s="670" t="s">
        <v>1686</v>
      </c>
      <c r="I6" s="657"/>
      <c r="J6" s="672" t="s">
        <v>1334</v>
      </c>
    </row>
    <row r="7" spans="2:10" ht="127.5" customHeight="1" thickBot="1" x14ac:dyDescent="0.3">
      <c r="B7" s="668"/>
      <c r="C7" s="10">
        <v>0.6</v>
      </c>
      <c r="D7" s="666"/>
      <c r="E7" s="666"/>
      <c r="F7" s="666"/>
      <c r="G7" s="671"/>
      <c r="H7" s="671"/>
      <c r="I7" s="657"/>
      <c r="J7" s="673"/>
    </row>
    <row r="8" spans="2:10" ht="127.5" customHeight="1" x14ac:dyDescent="0.25">
      <c r="B8" s="668"/>
      <c r="C8" s="9" t="s">
        <v>1335</v>
      </c>
      <c r="D8" s="663" t="s">
        <v>1676</v>
      </c>
      <c r="E8" s="665" t="s">
        <v>1695</v>
      </c>
      <c r="F8" s="665" t="s">
        <v>1692</v>
      </c>
      <c r="G8" s="665" t="s">
        <v>1684</v>
      </c>
      <c r="H8" s="670" t="s">
        <v>794</v>
      </c>
      <c r="I8" s="657"/>
      <c r="J8" s="674" t="s">
        <v>1336</v>
      </c>
    </row>
    <row r="9" spans="2:10" ht="127.5" customHeight="1" thickBot="1" x14ac:dyDescent="0.3">
      <c r="B9" s="668"/>
      <c r="C9" s="10">
        <v>0.4</v>
      </c>
      <c r="D9" s="664"/>
      <c r="E9" s="666"/>
      <c r="F9" s="666"/>
      <c r="G9" s="666"/>
      <c r="H9" s="671"/>
      <c r="I9" s="657"/>
      <c r="J9" s="675"/>
    </row>
    <row r="10" spans="2:10" ht="127.5" customHeight="1" x14ac:dyDescent="0.25">
      <c r="B10" s="668"/>
      <c r="C10" s="9" t="s">
        <v>1337</v>
      </c>
      <c r="D10" s="663" t="s">
        <v>1677</v>
      </c>
      <c r="E10" s="663"/>
      <c r="F10" s="665" t="s">
        <v>1693</v>
      </c>
      <c r="G10" s="665" t="s">
        <v>744</v>
      </c>
      <c r="H10" s="665" t="s">
        <v>1207</v>
      </c>
      <c r="I10" s="655"/>
      <c r="J10" s="654"/>
    </row>
    <row r="11" spans="2:10" ht="127.5" customHeight="1" thickBot="1" x14ac:dyDescent="0.3">
      <c r="B11" s="669"/>
      <c r="C11" s="10">
        <v>0.2</v>
      </c>
      <c r="D11" s="664"/>
      <c r="E11" s="664"/>
      <c r="F11" s="666"/>
      <c r="G11" s="666"/>
      <c r="H11" s="666"/>
      <c r="I11" s="655"/>
      <c r="J11" s="655"/>
    </row>
    <row r="12" spans="2:10" x14ac:dyDescent="0.25">
      <c r="B12" s="654"/>
      <c r="C12" s="656"/>
      <c r="D12" s="9" t="s">
        <v>1338</v>
      </c>
      <c r="E12" s="9" t="s">
        <v>1339</v>
      </c>
      <c r="F12" s="9" t="s">
        <v>1340</v>
      </c>
      <c r="G12" s="9" t="s">
        <v>1341</v>
      </c>
      <c r="H12" s="9" t="s">
        <v>1342</v>
      </c>
      <c r="I12" s="658"/>
      <c r="J12" s="659"/>
    </row>
    <row r="13" spans="2:10" ht="15.75" thickBot="1" x14ac:dyDescent="0.3">
      <c r="B13" s="655"/>
      <c r="C13" s="657"/>
      <c r="D13" s="10">
        <v>0.2</v>
      </c>
      <c r="E13" s="10">
        <v>0.4</v>
      </c>
      <c r="F13" s="10">
        <v>0.6</v>
      </c>
      <c r="G13" s="10">
        <v>0.8</v>
      </c>
      <c r="H13" s="10">
        <v>1</v>
      </c>
      <c r="I13" s="658"/>
      <c r="J13" s="659"/>
    </row>
    <row r="14" spans="2:10" ht="15.75" thickBot="1" x14ac:dyDescent="0.3">
      <c r="D14" s="660" t="s">
        <v>1343</v>
      </c>
      <c r="E14" s="661"/>
      <c r="F14" s="661"/>
      <c r="G14" s="661"/>
      <c r="H14" s="662"/>
    </row>
  </sheetData>
  <mergeCells count="40">
    <mergeCell ref="I2:I3"/>
    <mergeCell ref="J2:J3"/>
    <mergeCell ref="D4:D5"/>
    <mergeCell ref="E4:E5"/>
    <mergeCell ref="F4:F5"/>
    <mergeCell ref="G4:G5"/>
    <mergeCell ref="H4:H5"/>
    <mergeCell ref="I4:I5"/>
    <mergeCell ref="J4:J5"/>
    <mergeCell ref="D2:D3"/>
    <mergeCell ref="E2:E3"/>
    <mergeCell ref="F2:F3"/>
    <mergeCell ref="G2:G3"/>
    <mergeCell ref="H2:H3"/>
    <mergeCell ref="J8:J9"/>
    <mergeCell ref="D6:D7"/>
    <mergeCell ref="E6:E7"/>
    <mergeCell ref="F6:F7"/>
    <mergeCell ref="G6:G7"/>
    <mergeCell ref="E8:E9"/>
    <mergeCell ref="F8:F9"/>
    <mergeCell ref="G8:G9"/>
    <mergeCell ref="H8:H9"/>
    <mergeCell ref="I8:I9"/>
    <mergeCell ref="J10:J11"/>
    <mergeCell ref="B12:C13"/>
    <mergeCell ref="I12:I13"/>
    <mergeCell ref="J12:J13"/>
    <mergeCell ref="D14:H14"/>
    <mergeCell ref="D10:D11"/>
    <mergeCell ref="E10:E11"/>
    <mergeCell ref="F10:F11"/>
    <mergeCell ref="G10:G11"/>
    <mergeCell ref="H10:H11"/>
    <mergeCell ref="I10:I11"/>
    <mergeCell ref="B2:B11"/>
    <mergeCell ref="H6:H7"/>
    <mergeCell ref="I6:I7"/>
    <mergeCell ref="J6:J7"/>
    <mergeCell ref="D8:D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4408E-B70E-4B2C-BC9B-E146B8AFDA51}">
  <sheetPr codeName="Hoja5"/>
  <dimension ref="B1:J14"/>
  <sheetViews>
    <sheetView topLeftCell="A4" zoomScale="60" zoomScaleNormal="60" workbookViewId="0">
      <selection activeCell="F6" sqref="F6:F7"/>
    </sheetView>
  </sheetViews>
  <sheetFormatPr baseColWidth="10" defaultColWidth="11.42578125" defaultRowHeight="15" x14ac:dyDescent="0.25"/>
  <cols>
    <col min="2" max="2" width="16.140625" customWidth="1"/>
    <col min="3" max="8" width="64.7109375" customWidth="1"/>
  </cols>
  <sheetData>
    <row r="1" spans="2:10" ht="15.75" thickBot="1" x14ac:dyDescent="0.3"/>
    <row r="2" spans="2:10" ht="239.25" customHeight="1" x14ac:dyDescent="0.25">
      <c r="B2" s="667" t="s">
        <v>1328</v>
      </c>
      <c r="C2" s="7" t="s">
        <v>1329</v>
      </c>
      <c r="D2" s="665"/>
      <c r="E2" s="670"/>
      <c r="F2" s="670"/>
      <c r="G2" s="678"/>
      <c r="H2" s="678"/>
      <c r="I2" s="657"/>
      <c r="J2" s="676" t="s">
        <v>1330</v>
      </c>
    </row>
    <row r="3" spans="2:10" ht="239.25" customHeight="1" thickBot="1" x14ac:dyDescent="0.3">
      <c r="B3" s="668"/>
      <c r="C3" s="8">
        <v>1</v>
      </c>
      <c r="D3" s="666"/>
      <c r="E3" s="671"/>
      <c r="F3" s="671"/>
      <c r="G3" s="679"/>
      <c r="H3" s="679"/>
      <c r="I3" s="657"/>
      <c r="J3" s="677"/>
    </row>
    <row r="4" spans="2:10" ht="239.25" customHeight="1" x14ac:dyDescent="0.25">
      <c r="B4" s="668"/>
      <c r="C4" s="9" t="s">
        <v>1331</v>
      </c>
      <c r="D4" s="665"/>
      <c r="E4" s="665"/>
      <c r="F4" s="670"/>
      <c r="G4" s="670"/>
      <c r="H4" s="678"/>
      <c r="I4" s="657"/>
      <c r="J4" s="680" t="s">
        <v>1332</v>
      </c>
    </row>
    <row r="5" spans="2:10" ht="239.25" customHeight="1" thickBot="1" x14ac:dyDescent="0.3">
      <c r="B5" s="668"/>
      <c r="C5" s="10">
        <v>0.8</v>
      </c>
      <c r="D5" s="666"/>
      <c r="E5" s="666"/>
      <c r="F5" s="671"/>
      <c r="G5" s="671"/>
      <c r="H5" s="679"/>
      <c r="I5" s="657"/>
      <c r="J5" s="681"/>
    </row>
    <row r="6" spans="2:10" ht="239.25" customHeight="1" x14ac:dyDescent="0.25">
      <c r="B6" s="668"/>
      <c r="C6" s="9" t="s">
        <v>1333</v>
      </c>
      <c r="D6" s="665" t="s">
        <v>1704</v>
      </c>
      <c r="E6" s="665" t="s">
        <v>1098</v>
      </c>
      <c r="F6" s="665" t="s">
        <v>1697</v>
      </c>
      <c r="G6" s="670" t="s">
        <v>1703</v>
      </c>
      <c r="H6" s="670" t="s">
        <v>1702</v>
      </c>
      <c r="I6" s="657"/>
      <c r="J6" s="672" t="s">
        <v>1334</v>
      </c>
    </row>
    <row r="7" spans="2:10" ht="239.25" customHeight="1" thickBot="1" x14ac:dyDescent="0.3">
      <c r="B7" s="668"/>
      <c r="C7" s="10">
        <v>0.6</v>
      </c>
      <c r="D7" s="666"/>
      <c r="E7" s="666"/>
      <c r="F7" s="666"/>
      <c r="G7" s="671"/>
      <c r="H7" s="671"/>
      <c r="I7" s="657"/>
      <c r="J7" s="673"/>
    </row>
    <row r="8" spans="2:10" ht="239.25" customHeight="1" x14ac:dyDescent="0.25">
      <c r="B8" s="668"/>
      <c r="C8" s="9" t="s">
        <v>1335</v>
      </c>
      <c r="D8" s="663" t="s">
        <v>1707</v>
      </c>
      <c r="E8" s="665" t="s">
        <v>1555</v>
      </c>
      <c r="F8" s="665" t="s">
        <v>1699</v>
      </c>
      <c r="G8" s="665" t="s">
        <v>1701</v>
      </c>
      <c r="H8" s="670" t="s">
        <v>1705</v>
      </c>
      <c r="I8" s="657"/>
      <c r="J8" s="674" t="s">
        <v>1336</v>
      </c>
    </row>
    <row r="9" spans="2:10" ht="239.25" customHeight="1" thickBot="1" x14ac:dyDescent="0.3">
      <c r="B9" s="668"/>
      <c r="C9" s="10">
        <v>0.4</v>
      </c>
      <c r="D9" s="664"/>
      <c r="E9" s="666"/>
      <c r="F9" s="666"/>
      <c r="G9" s="666"/>
      <c r="H9" s="671"/>
      <c r="I9" s="657"/>
      <c r="J9" s="675"/>
    </row>
    <row r="10" spans="2:10" ht="239.25" customHeight="1" x14ac:dyDescent="0.25">
      <c r="B10" s="668"/>
      <c r="C10" s="9" t="s">
        <v>1337</v>
      </c>
      <c r="D10" s="663" t="s">
        <v>1706</v>
      </c>
      <c r="E10" s="663" t="s">
        <v>1698</v>
      </c>
      <c r="F10" s="665" t="s">
        <v>1700</v>
      </c>
      <c r="G10" s="665" t="s">
        <v>1696</v>
      </c>
      <c r="H10" s="665" t="s">
        <v>1207</v>
      </c>
      <c r="I10" s="655"/>
      <c r="J10" s="654"/>
    </row>
    <row r="11" spans="2:10" ht="239.25" customHeight="1" thickBot="1" x14ac:dyDescent="0.3">
      <c r="B11" s="669"/>
      <c r="C11" s="10">
        <v>0.2</v>
      </c>
      <c r="D11" s="664"/>
      <c r="E11" s="664"/>
      <c r="F11" s="666"/>
      <c r="G11" s="666"/>
      <c r="H11" s="666"/>
      <c r="I11" s="655"/>
      <c r="J11" s="655"/>
    </row>
    <row r="12" spans="2:10" x14ac:dyDescent="0.25">
      <c r="B12" s="654"/>
      <c r="C12" s="656"/>
      <c r="D12" s="9" t="s">
        <v>1338</v>
      </c>
      <c r="E12" s="9" t="s">
        <v>1339</v>
      </c>
      <c r="F12" s="9" t="s">
        <v>1340</v>
      </c>
      <c r="G12" s="9" t="s">
        <v>1341</v>
      </c>
      <c r="H12" s="9" t="s">
        <v>1342</v>
      </c>
      <c r="I12" s="658"/>
      <c r="J12" s="659"/>
    </row>
    <row r="13" spans="2:10" ht="15.75" thickBot="1" x14ac:dyDescent="0.3">
      <c r="B13" s="655"/>
      <c r="C13" s="657"/>
      <c r="D13" s="10">
        <v>0.2</v>
      </c>
      <c r="E13" s="10">
        <v>0.4</v>
      </c>
      <c r="F13" s="10">
        <v>0.6</v>
      </c>
      <c r="G13" s="10">
        <v>0.8</v>
      </c>
      <c r="H13" s="10">
        <v>1</v>
      </c>
      <c r="I13" s="658"/>
      <c r="J13" s="659"/>
    </row>
    <row r="14" spans="2:10" ht="15.75" thickBot="1" x14ac:dyDescent="0.3">
      <c r="D14" s="660" t="s">
        <v>1343</v>
      </c>
      <c r="E14" s="661"/>
      <c r="F14" s="661"/>
      <c r="G14" s="661"/>
      <c r="H14" s="662"/>
    </row>
  </sheetData>
  <mergeCells count="40">
    <mergeCell ref="I2:I3"/>
    <mergeCell ref="J2:J3"/>
    <mergeCell ref="D4:D5"/>
    <mergeCell ref="E4:E5"/>
    <mergeCell ref="F4:F5"/>
    <mergeCell ref="G4:G5"/>
    <mergeCell ref="H4:H5"/>
    <mergeCell ref="I4:I5"/>
    <mergeCell ref="J4:J5"/>
    <mergeCell ref="D2:D3"/>
    <mergeCell ref="E2:E3"/>
    <mergeCell ref="F2:F3"/>
    <mergeCell ref="G2:G3"/>
    <mergeCell ref="H2:H3"/>
    <mergeCell ref="J8:J9"/>
    <mergeCell ref="D6:D7"/>
    <mergeCell ref="E6:E7"/>
    <mergeCell ref="F6:F7"/>
    <mergeCell ref="G6:G7"/>
    <mergeCell ref="E8:E9"/>
    <mergeCell ref="F8:F9"/>
    <mergeCell ref="G8:G9"/>
    <mergeCell ref="H8:H9"/>
    <mergeCell ref="I8:I9"/>
    <mergeCell ref="J10:J11"/>
    <mergeCell ref="B12:C13"/>
    <mergeCell ref="I12:I13"/>
    <mergeCell ref="J12:J13"/>
    <mergeCell ref="D14:H14"/>
    <mergeCell ref="D10:D11"/>
    <mergeCell ref="E10:E11"/>
    <mergeCell ref="F10:F11"/>
    <mergeCell ref="G10:G11"/>
    <mergeCell ref="H10:H11"/>
    <mergeCell ref="I10:I11"/>
    <mergeCell ref="B2:B11"/>
    <mergeCell ref="H6:H7"/>
    <mergeCell ref="I6:I7"/>
    <mergeCell ref="J6:J7"/>
    <mergeCell ref="D8:D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CBB89-D102-48DC-9612-88CA4F47B93C}">
  <dimension ref="B1:G10"/>
  <sheetViews>
    <sheetView workbookViewId="0">
      <selection activeCell="B2" sqref="B2:E2"/>
    </sheetView>
  </sheetViews>
  <sheetFormatPr baseColWidth="10" defaultColWidth="11.42578125" defaultRowHeight="15" x14ac:dyDescent="0.25"/>
  <cols>
    <col min="2" max="2" width="14" customWidth="1"/>
    <col min="3" max="3" width="10.140625" customWidth="1"/>
    <col min="4" max="4" width="54.85546875" customWidth="1"/>
    <col min="5" max="5" width="34.7109375" customWidth="1"/>
    <col min="6" max="6" width="11.42578125" style="22"/>
    <col min="7" max="7" width="11.42578125" style="29"/>
  </cols>
  <sheetData>
    <row r="1" spans="2:7" ht="15.75" thickBot="1" x14ac:dyDescent="0.3"/>
    <row r="2" spans="2:7" ht="15.75" thickBot="1" x14ac:dyDescent="0.3">
      <c r="B2" s="682" t="s">
        <v>1685</v>
      </c>
      <c r="C2" s="683"/>
      <c r="D2" s="683"/>
      <c r="E2" s="684"/>
    </row>
    <row r="3" spans="2:7" ht="15.75" thickBot="1" x14ac:dyDescent="0.3"/>
    <row r="4" spans="2:7" ht="17.25" customHeight="1" thickBot="1" x14ac:dyDescent="0.3">
      <c r="B4" s="685" t="s">
        <v>720</v>
      </c>
      <c r="C4" s="686"/>
      <c r="D4" s="689" t="s">
        <v>1350</v>
      </c>
      <c r="E4" s="690"/>
      <c r="F4" s="16"/>
    </row>
    <row r="5" spans="2:7" ht="17.25" customHeight="1" thickBot="1" x14ac:dyDescent="0.3">
      <c r="B5" s="687"/>
      <c r="C5" s="688"/>
      <c r="D5" s="407" t="s">
        <v>1291</v>
      </c>
      <c r="E5" s="407" t="s">
        <v>1351</v>
      </c>
      <c r="F5" s="16"/>
    </row>
    <row r="6" spans="2:7" ht="27.75" customHeight="1" thickBot="1" x14ac:dyDescent="0.3">
      <c r="B6" s="13" t="s">
        <v>1338</v>
      </c>
      <c r="C6" s="14">
        <v>0.2</v>
      </c>
      <c r="D6" s="408" t="s">
        <v>786</v>
      </c>
      <c r="E6" s="408" t="s">
        <v>1352</v>
      </c>
      <c r="F6" s="16" t="s">
        <v>1338</v>
      </c>
      <c r="G6" s="29">
        <v>0.2</v>
      </c>
    </row>
    <row r="7" spans="2:7" ht="47.25" customHeight="1" thickBot="1" x14ac:dyDescent="0.3">
      <c r="B7" s="409" t="s">
        <v>1339</v>
      </c>
      <c r="C7" s="14">
        <v>0.4</v>
      </c>
      <c r="D7" s="408" t="s">
        <v>835</v>
      </c>
      <c r="E7" s="408" t="s">
        <v>1353</v>
      </c>
      <c r="F7" s="16" t="s">
        <v>1339</v>
      </c>
      <c r="G7" s="29">
        <v>0.4</v>
      </c>
    </row>
    <row r="8" spans="2:7" ht="37.5" customHeight="1" thickBot="1" x14ac:dyDescent="0.3">
      <c r="B8" s="19" t="s">
        <v>1340</v>
      </c>
      <c r="C8" s="14">
        <v>0.6</v>
      </c>
      <c r="D8" s="408" t="s">
        <v>770</v>
      </c>
      <c r="E8" s="408" t="s">
        <v>1354</v>
      </c>
      <c r="F8" s="16" t="s">
        <v>1340</v>
      </c>
      <c r="G8" s="29">
        <v>0.6</v>
      </c>
    </row>
    <row r="9" spans="2:7" ht="44.25" customHeight="1" thickBot="1" x14ac:dyDescent="0.3">
      <c r="B9" s="20" t="s">
        <v>1341</v>
      </c>
      <c r="C9" s="14">
        <v>0.8</v>
      </c>
      <c r="D9" s="408" t="s">
        <v>753</v>
      </c>
      <c r="E9" s="408" t="s">
        <v>1355</v>
      </c>
      <c r="F9" s="16" t="s">
        <v>1341</v>
      </c>
      <c r="G9" s="29">
        <v>0.8</v>
      </c>
    </row>
    <row r="10" spans="2:7" ht="43.5" customHeight="1" thickBot="1" x14ac:dyDescent="0.3">
      <c r="B10" s="21" t="s">
        <v>1342</v>
      </c>
      <c r="C10" s="14">
        <v>1</v>
      </c>
      <c r="D10" s="408" t="s">
        <v>1076</v>
      </c>
      <c r="E10" s="408" t="s">
        <v>1356</v>
      </c>
      <c r="F10" s="16" t="s">
        <v>1342</v>
      </c>
      <c r="G10" s="29">
        <v>1</v>
      </c>
    </row>
  </sheetData>
  <mergeCells count="3">
    <mergeCell ref="B2:E2"/>
    <mergeCell ref="B4:C5"/>
    <mergeCell ref="D4:E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D40070-A563-4D4C-B051-3AFD4E009970}">
  <sheetPr codeName="Hoja6"/>
  <dimension ref="B2:F9"/>
  <sheetViews>
    <sheetView workbookViewId="0">
      <selection activeCell="E10" sqref="E9:E10"/>
    </sheetView>
  </sheetViews>
  <sheetFormatPr baseColWidth="10" defaultColWidth="11.42578125" defaultRowHeight="15" x14ac:dyDescent="0.25"/>
  <cols>
    <col min="2" max="2" width="9.28515625" bestFit="1" customWidth="1"/>
    <col min="3" max="3" width="6.140625" bestFit="1" customWidth="1"/>
    <col min="4" max="4" width="41.28515625" customWidth="1"/>
  </cols>
  <sheetData>
    <row r="2" spans="2:6" x14ac:dyDescent="0.25">
      <c r="B2" s="691" t="s">
        <v>1344</v>
      </c>
      <c r="C2" s="691"/>
      <c r="D2" s="691"/>
    </row>
    <row r="3" spans="2:6" ht="15.75" thickBot="1" x14ac:dyDescent="0.3"/>
    <row r="4" spans="2:6" ht="15.75" thickBot="1" x14ac:dyDescent="0.3">
      <c r="B4" s="689" t="s">
        <v>719</v>
      </c>
      <c r="C4" s="690"/>
      <c r="D4" s="12" t="s">
        <v>739</v>
      </c>
    </row>
    <row r="5" spans="2:6" ht="27.75" thickBot="1" x14ac:dyDescent="0.3">
      <c r="B5" s="13" t="s">
        <v>1337</v>
      </c>
      <c r="C5" s="14">
        <v>0.2</v>
      </c>
      <c r="D5" s="15" t="s">
        <v>1345</v>
      </c>
      <c r="E5" s="16">
        <v>0.2</v>
      </c>
      <c r="F5" s="17" t="s">
        <v>1337</v>
      </c>
    </row>
    <row r="6" spans="2:6" ht="27.75" thickBot="1" x14ac:dyDescent="0.3">
      <c r="B6" s="18" t="s">
        <v>1335</v>
      </c>
      <c r="C6" s="14">
        <v>0.4</v>
      </c>
      <c r="D6" s="15" t="s">
        <v>1346</v>
      </c>
      <c r="E6" s="16">
        <v>0.4</v>
      </c>
      <c r="F6" s="17" t="s">
        <v>1335</v>
      </c>
    </row>
    <row r="7" spans="2:6" ht="27.75" thickBot="1" x14ac:dyDescent="0.3">
      <c r="B7" s="19" t="s">
        <v>1333</v>
      </c>
      <c r="C7" s="14">
        <v>0.6</v>
      </c>
      <c r="D7" s="15" t="s">
        <v>1347</v>
      </c>
      <c r="E7" s="16">
        <v>0.6</v>
      </c>
      <c r="F7" s="17" t="s">
        <v>1333</v>
      </c>
    </row>
    <row r="8" spans="2:6" ht="41.25" thickBot="1" x14ac:dyDescent="0.3">
      <c r="B8" s="20" t="s">
        <v>1331</v>
      </c>
      <c r="C8" s="14">
        <v>0.8</v>
      </c>
      <c r="D8" s="15" t="s">
        <v>1348</v>
      </c>
      <c r="E8" s="16">
        <v>0.8</v>
      </c>
      <c r="F8" s="17" t="s">
        <v>1331</v>
      </c>
    </row>
    <row r="9" spans="2:6" ht="27.75" thickBot="1" x14ac:dyDescent="0.3">
      <c r="B9" s="21" t="s">
        <v>1329</v>
      </c>
      <c r="C9" s="14">
        <v>1</v>
      </c>
      <c r="D9" s="15" t="s">
        <v>1349</v>
      </c>
      <c r="E9" s="16">
        <v>1</v>
      </c>
      <c r="F9" s="17" t="s">
        <v>1329</v>
      </c>
    </row>
  </sheetData>
  <mergeCells count="2">
    <mergeCell ref="B2:D2"/>
    <mergeCell ref="B4:C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9BBCA-2D5B-4C60-A7A6-BE5C815EBA9D}">
  <sheetPr codeName="Hoja7"/>
  <dimension ref="B3:F17"/>
  <sheetViews>
    <sheetView workbookViewId="0">
      <selection activeCell="F10" sqref="F10"/>
    </sheetView>
  </sheetViews>
  <sheetFormatPr baseColWidth="10" defaultColWidth="11.42578125" defaultRowHeight="15" x14ac:dyDescent="0.25"/>
  <cols>
    <col min="2" max="2" width="49" customWidth="1"/>
    <col min="3" max="3" width="23.28515625" customWidth="1"/>
    <col min="4" max="4" width="14.85546875" customWidth="1"/>
    <col min="5" max="5" width="11.42578125" style="22"/>
    <col min="6" max="6" width="11.42578125" style="29"/>
  </cols>
  <sheetData>
    <row r="3" spans="2:6" ht="17.25" customHeight="1" x14ac:dyDescent="0.25">
      <c r="B3" s="382" t="s">
        <v>1350</v>
      </c>
      <c r="C3" s="692" t="s">
        <v>720</v>
      </c>
      <c r="D3" s="692"/>
      <c r="E3"/>
      <c r="F3"/>
    </row>
    <row r="4" spans="2:6" ht="17.25" customHeight="1" x14ac:dyDescent="0.25">
      <c r="B4" s="382" t="s">
        <v>1500</v>
      </c>
      <c r="C4" s="692"/>
      <c r="D4" s="692"/>
      <c r="E4"/>
      <c r="F4"/>
    </row>
    <row r="5" spans="2:6" ht="27.75" customHeight="1" x14ac:dyDescent="0.25">
      <c r="B5" s="377" t="s">
        <v>786</v>
      </c>
      <c r="C5" s="375" t="s">
        <v>1338</v>
      </c>
      <c r="D5" s="376">
        <v>0.2</v>
      </c>
      <c r="E5"/>
      <c r="F5"/>
    </row>
    <row r="6" spans="2:6" ht="47.25" customHeight="1" x14ac:dyDescent="0.25">
      <c r="B6" s="377" t="s">
        <v>835</v>
      </c>
      <c r="C6" s="378" t="s">
        <v>1339</v>
      </c>
      <c r="D6" s="376">
        <v>0.4</v>
      </c>
      <c r="E6"/>
      <c r="F6"/>
    </row>
    <row r="7" spans="2:6" ht="37.5" customHeight="1" x14ac:dyDescent="0.25">
      <c r="B7" s="377" t="s">
        <v>770</v>
      </c>
      <c r="C7" s="379" t="s">
        <v>1340</v>
      </c>
      <c r="D7" s="376">
        <v>0.6</v>
      </c>
      <c r="E7"/>
      <c r="F7"/>
    </row>
    <row r="8" spans="2:6" ht="44.25" customHeight="1" x14ac:dyDescent="0.25">
      <c r="B8" s="377" t="s">
        <v>753</v>
      </c>
      <c r="C8" s="380" t="s">
        <v>1341</v>
      </c>
      <c r="D8" s="376">
        <v>0.8</v>
      </c>
      <c r="E8"/>
      <c r="F8"/>
    </row>
    <row r="9" spans="2:6" ht="43.5" customHeight="1" x14ac:dyDescent="0.25">
      <c r="B9" s="377" t="s">
        <v>1076</v>
      </c>
      <c r="C9" s="381" t="s">
        <v>1342</v>
      </c>
      <c r="D9" s="376">
        <v>1</v>
      </c>
      <c r="E9"/>
      <c r="F9"/>
    </row>
    <row r="11" spans="2:6" x14ac:dyDescent="0.25">
      <c r="B11" s="382" t="s">
        <v>1350</v>
      </c>
      <c r="C11" s="692" t="s">
        <v>720</v>
      </c>
      <c r="D11" s="692"/>
      <c r="E11"/>
      <c r="F11"/>
    </row>
    <row r="12" spans="2:6" x14ac:dyDescent="0.25">
      <c r="B12" s="382" t="s">
        <v>1351</v>
      </c>
      <c r="C12" s="692"/>
      <c r="D12" s="692"/>
      <c r="E12"/>
      <c r="F12"/>
    </row>
    <row r="13" spans="2:6" x14ac:dyDescent="0.25">
      <c r="B13" s="377" t="s">
        <v>1352</v>
      </c>
      <c r="C13" s="375" t="s">
        <v>1338</v>
      </c>
      <c r="D13" s="376">
        <v>0.2</v>
      </c>
      <c r="E13"/>
      <c r="F13"/>
    </row>
    <row r="14" spans="2:6" x14ac:dyDescent="0.25">
      <c r="B14" s="377" t="s">
        <v>1353</v>
      </c>
      <c r="C14" s="378" t="s">
        <v>1339</v>
      </c>
      <c r="D14" s="376">
        <v>0.4</v>
      </c>
      <c r="E14"/>
      <c r="F14"/>
    </row>
    <row r="15" spans="2:6" x14ac:dyDescent="0.25">
      <c r="B15" s="377" t="s">
        <v>1354</v>
      </c>
      <c r="C15" s="379" t="s">
        <v>1340</v>
      </c>
      <c r="D15" s="376">
        <v>0.6</v>
      </c>
      <c r="E15"/>
      <c r="F15"/>
    </row>
    <row r="16" spans="2:6" x14ac:dyDescent="0.25">
      <c r="B16" s="377" t="s">
        <v>1355</v>
      </c>
      <c r="C16" s="380" t="s">
        <v>1341</v>
      </c>
      <c r="D16" s="376">
        <v>0.8</v>
      </c>
      <c r="E16"/>
      <c r="F16"/>
    </row>
    <row r="17" spans="2:6" x14ac:dyDescent="0.25">
      <c r="B17" s="377" t="s">
        <v>1356</v>
      </c>
      <c r="C17" s="381" t="s">
        <v>1342</v>
      </c>
      <c r="D17" s="376">
        <v>1</v>
      </c>
      <c r="E17"/>
      <c r="F17"/>
    </row>
  </sheetData>
  <mergeCells count="2">
    <mergeCell ref="C3:D4"/>
    <mergeCell ref="C11:D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DOFA</vt:lpstr>
      <vt:lpstr>Instructivo</vt:lpstr>
      <vt:lpstr>Mapa final</vt:lpstr>
      <vt:lpstr>Datos</vt:lpstr>
      <vt:lpstr>Mapa riesgos inherentes</vt:lpstr>
      <vt:lpstr>Mapa riesgos residuales</vt:lpstr>
      <vt:lpstr>Impacto.</vt:lpstr>
      <vt:lpstr>Probabilidad</vt:lpstr>
      <vt:lpstr>Impacto</vt:lpstr>
      <vt:lpstr>Matriz</vt:lpstr>
      <vt:lpstr>Control de cambios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Lina Maria Patarroyo Parra</dc:creator>
  <cp:keywords/>
  <dc:description/>
  <cp:lastModifiedBy>ESE SANRAFAEL TUNJA</cp:lastModifiedBy>
  <cp:revision/>
  <dcterms:created xsi:type="dcterms:W3CDTF">2024-05-29T15:41:11Z</dcterms:created>
  <dcterms:modified xsi:type="dcterms:W3CDTF">2024-07-15T16:14:44Z</dcterms:modified>
  <cp:category/>
  <cp:contentStatus/>
</cp:coreProperties>
</file>